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<sst xmlns="http://schemas.openxmlformats.org/spreadsheetml/2006/main" count="241" uniqueCount="93">
  <si>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</si>
  <si>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</si>
  <si>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</si>
  <si>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</si>
  <si>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</si>
  <si>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</si>
  <si>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</si>
  <si>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</si>
  <si>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</si>
  <si>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</si>
  <si>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</si>
  <si>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</si>
  <si>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</si>
  <si>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</si>
  <si>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</si>
  <si>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VALOARE</t>
  </si>
  <si>
    <t>CONTRACT</t>
  </si>
  <si>
    <t>S.C.ROYALMED</t>
  </si>
  <si>
    <t>TOTTAL</t>
  </si>
  <si>
    <t>ianuarie 2024 monitorizare</t>
  </si>
  <si>
    <t>ianuarie 2024 preventie</t>
  </si>
  <si>
    <t>Total ianuarie 2024</t>
  </si>
  <si>
    <t>februarie 2024 monitorizare</t>
  </si>
  <si>
    <t>februarie 2024 preventie</t>
  </si>
  <si>
    <t>Total februarie 2024</t>
  </si>
  <si>
    <t>martie 2024 monitorizare</t>
  </si>
  <si>
    <t>martie 2024 preventie</t>
  </si>
  <si>
    <t>Total martie 2024</t>
  </si>
  <si>
    <t>TRIM.I 2024</t>
  </si>
  <si>
    <t>TRIM.I 2024 monit</t>
  </si>
  <si>
    <t>TRIM.I 2024 preventii</t>
  </si>
  <si>
    <t>TRIM.I 2024+monitor+preventii</t>
  </si>
  <si>
    <t>aprilie 2024 monitorizare</t>
  </si>
  <si>
    <t>aprilie 2024 preventie</t>
  </si>
  <si>
    <t>Total aprilie 2024</t>
  </si>
  <si>
    <t>mai 2024 monitorizare</t>
  </si>
  <si>
    <t>mai 2024 preventie</t>
  </si>
  <si>
    <t>Total mai 2024</t>
  </si>
  <si>
    <t>iunie 2024 monitorizare</t>
  </si>
  <si>
    <t>iunie 2024 preventie</t>
  </si>
  <si>
    <t>Total iunie 2024</t>
  </si>
  <si>
    <t>TRIM.II 2024</t>
  </si>
  <si>
    <t>TRIM.II 2024 monit</t>
  </si>
  <si>
    <t>TRIM.II 2024 preventii</t>
  </si>
  <si>
    <t>TRIM.II 2024+monitor+preventii</t>
  </si>
  <si>
    <t>iulie 2024 preventie</t>
  </si>
  <si>
    <t>iulie 2024 monitorizare</t>
  </si>
  <si>
    <t>Total iulie 2024</t>
  </si>
  <si>
    <t>august 2024 preventie</t>
  </si>
  <si>
    <t>august 2024 monitorizare</t>
  </si>
  <si>
    <t>Total august 2024</t>
  </si>
  <si>
    <t>sept 2024 preventie</t>
  </si>
  <si>
    <t>sept 2024 monitorizare</t>
  </si>
  <si>
    <t>Total sept 2024</t>
  </si>
  <si>
    <t>TRIM.III 2024</t>
  </si>
  <si>
    <t>TRIM.III 2024 monit</t>
  </si>
  <si>
    <t>TRIM.III 2024 preventie</t>
  </si>
  <si>
    <t>TRIM.III 2024+monitor+preventie</t>
  </si>
  <si>
    <t>oct 2024 preventie</t>
  </si>
  <si>
    <t>oct 2024 monitorizare</t>
  </si>
  <si>
    <t>Total oct 2024</t>
  </si>
  <si>
    <t>nov 2024 preventie</t>
  </si>
  <si>
    <t>nov 2024 monitorizare</t>
  </si>
  <si>
    <t>Total nov 2024</t>
  </si>
  <si>
    <t>dec 2024 preventie</t>
  </si>
  <si>
    <t>dec 2024 monitorizare</t>
  </si>
  <si>
    <t>Total dec 2024</t>
  </si>
  <si>
    <t>TOTAL TRIM IV 2024</t>
  </si>
  <si>
    <t>TRIM.IV 2024 monit</t>
  </si>
  <si>
    <t>TRIM.IV 2024 preventie</t>
  </si>
  <si>
    <t>TRIM.IV 2024+monitor+preventie</t>
  </si>
  <si>
    <t>TOTAL GENERAL 2024</t>
  </si>
  <si>
    <t>TOTAL monitorizari 2024</t>
  </si>
  <si>
    <t>TOTAL preventie 2024</t>
  </si>
  <si>
    <t>TOTAL GENERAL 2024+monitorizari+preventie</t>
  </si>
  <si>
    <t>TOTAL AN  2024</t>
  </si>
  <si>
    <t>SITUAȚIE VALORI CONTRACTATE PARACLINICE - HISTOPATOLOGIE PENTRU ANUL 2024</t>
  </si>
  <si>
    <t>SITUAȚIE VALORI CONTRACTATE PARACLINICE - ANALIZE LABORATOR PENTRU ANUL 2024</t>
  </si>
  <si>
    <t>SITUAȚIE VALORI CONTRACTATE PARACLINICE - RADIOLOGIE Și imagistică medicală PENTRU ANUL 2024</t>
  </si>
  <si>
    <t>PARACLINICE Situatie valori contractate pentru anul 2024</t>
  </si>
  <si>
    <t>monitorizari dec 2023</t>
  </si>
  <si>
    <t>CMI DR.FILIP MARIA CBCT</t>
  </si>
  <si>
    <t xml:space="preserve">SPITALUL JUDEȚEAN DR.POMPEI SAMARIAN </t>
  </si>
  <si>
    <t>ALPHA MEDICAL INVEST</t>
  </si>
  <si>
    <t>dec 2023 preventie</t>
  </si>
  <si>
    <t>dec 2023 monitorizare</t>
  </si>
  <si>
    <t>Total dec 2023</t>
  </si>
  <si>
    <t>februarie 2024 monitorizare gravide</t>
  </si>
  <si>
    <t>ianuarie 2024 monitorizare gravide</t>
  </si>
  <si>
    <t>TRIM.I 2024 monit gravide</t>
  </si>
  <si>
    <t>martie 2024 monitorizare gravide</t>
  </si>
  <si>
    <t>TOTAL MONITORIZARI 2024 gravide</t>
  </si>
  <si>
    <t>TOTAL monitorizari 2024 gravide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</si>
</sst>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5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" fontId="4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tabSelected="1" zoomScalePageLayoutView="0" workbookViewId="0" topLeftCell="A253">
      <selection activeCell="C269" sqref="C269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77"/>
      <c r="B1" s="78"/>
    </row>
    <row r="2" spans="1:4" ht="12.75">
      <c r="A2" s="26" t="s">
        <v>77</v>
      </c>
      <c r="B2" s="76"/>
      <c r="C2" s="76"/>
      <c r="D2" s="76"/>
    </row>
    <row r="4" spans="1:12" ht="12.75">
      <c r="A4" s="116" t="s">
        <v>0</v>
      </c>
      <c r="B4" s="119" t="s">
        <v>9</v>
      </c>
      <c r="C4" s="120"/>
      <c r="D4" s="120"/>
      <c r="E4" s="120"/>
      <c r="F4" s="120"/>
      <c r="G4" s="120"/>
      <c r="H4" s="121"/>
      <c r="I4" s="109" t="s">
        <v>18</v>
      </c>
      <c r="J4" s="27"/>
      <c r="K4" s="27"/>
      <c r="L4" s="27"/>
    </row>
    <row r="5" spans="1:12" ht="81" customHeight="1">
      <c r="A5" s="117"/>
      <c r="B5" s="2" t="s">
        <v>5</v>
      </c>
      <c r="C5" s="2" t="s">
        <v>6</v>
      </c>
      <c r="D5" s="2" t="s">
        <v>7</v>
      </c>
      <c r="E5" s="2" t="s">
        <v>17</v>
      </c>
      <c r="F5" s="2" t="s">
        <v>8</v>
      </c>
      <c r="G5" s="2" t="s">
        <v>13</v>
      </c>
      <c r="H5" s="40" t="s">
        <v>14</v>
      </c>
      <c r="I5" s="110"/>
      <c r="J5" s="27"/>
      <c r="K5" s="27"/>
      <c r="L5" s="25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45292</v>
      </c>
      <c r="B7" s="31">
        <f>59387.72-8600.24+7364.64-163.58</f>
        <v>57988.54</v>
      </c>
      <c r="C7" s="31">
        <f>70512.44-10276.47-188.85</f>
        <v>60047.12</v>
      </c>
      <c r="D7" s="11">
        <f>76916.49-11210.65+8049.09-222.74</f>
        <v>73532.19</v>
      </c>
      <c r="E7" s="35">
        <f>80679.84-11760.93-8.56</f>
        <v>68910.35</v>
      </c>
      <c r="F7" s="35">
        <f>64483.39-9400.89-1.4</f>
        <v>55081.1</v>
      </c>
      <c r="G7" s="31">
        <f>52990.44-7723.43-80.13</f>
        <v>45186.880000000005</v>
      </c>
      <c r="H7" s="31">
        <f>78397.18-11412.85-7504.09</f>
        <v>59480.23999999999</v>
      </c>
      <c r="I7" s="13">
        <f>SUM(B7:H7)</f>
        <v>420226.42</v>
      </c>
      <c r="J7" s="18"/>
      <c r="K7" s="18"/>
      <c r="L7" s="7"/>
    </row>
    <row r="8" spans="1:12" ht="25.5">
      <c r="A8" s="107" t="s">
        <v>19</v>
      </c>
      <c r="B8" s="103">
        <v>42168.91</v>
      </c>
      <c r="C8" s="104">
        <v>3423.03</v>
      </c>
      <c r="D8" s="104">
        <v>6826.74</v>
      </c>
      <c r="E8" s="73">
        <v>0</v>
      </c>
      <c r="F8" s="104">
        <v>10619.16</v>
      </c>
      <c r="G8" s="104">
        <v>132.22</v>
      </c>
      <c r="H8" s="73">
        <v>0</v>
      </c>
      <c r="I8" s="13">
        <f aca="true" t="shared" si="0" ref="I8:I73">SUM(B8:H8)</f>
        <v>63170.06</v>
      </c>
      <c r="J8" s="46"/>
      <c r="K8" s="46"/>
      <c r="L8" s="7"/>
    </row>
    <row r="9" spans="1:12" ht="38.25">
      <c r="A9" s="107" t="s">
        <v>88</v>
      </c>
      <c r="B9" s="103">
        <v>0</v>
      </c>
      <c r="C9" s="104">
        <v>252</v>
      </c>
      <c r="D9" s="104">
        <v>70.8</v>
      </c>
      <c r="E9" s="73">
        <v>0</v>
      </c>
      <c r="F9" s="104">
        <v>0</v>
      </c>
      <c r="G9" s="104">
        <v>0</v>
      </c>
      <c r="H9" s="73">
        <v>0</v>
      </c>
      <c r="I9" s="13">
        <f t="shared" si="0"/>
        <v>322.8</v>
      </c>
      <c r="J9" s="46"/>
      <c r="K9" s="46"/>
      <c r="L9" s="7"/>
    </row>
    <row r="10" spans="1:12" ht="25.5">
      <c r="A10" s="47" t="s">
        <v>20</v>
      </c>
      <c r="B10" s="104">
        <v>473.88</v>
      </c>
      <c r="C10" s="104">
        <v>442.77</v>
      </c>
      <c r="D10" s="104">
        <v>100.73</v>
      </c>
      <c r="E10" s="73">
        <v>0</v>
      </c>
      <c r="F10" s="73">
        <v>0</v>
      </c>
      <c r="G10" s="104">
        <v>599.85</v>
      </c>
      <c r="H10" s="73">
        <v>0</v>
      </c>
      <c r="I10" s="13">
        <f t="shared" si="0"/>
        <v>1617.23</v>
      </c>
      <c r="J10" s="46"/>
      <c r="K10" s="46"/>
      <c r="L10" s="7"/>
    </row>
    <row r="11" spans="1:12" ht="25.5">
      <c r="A11" s="89" t="s">
        <v>21</v>
      </c>
      <c r="B11" s="31">
        <f aca="true" t="shared" si="1" ref="B11:G11">SUM(B7:B10)</f>
        <v>100631.33000000002</v>
      </c>
      <c r="C11" s="31">
        <f t="shared" si="1"/>
        <v>64164.92</v>
      </c>
      <c r="D11" s="31">
        <f t="shared" si="1"/>
        <v>80530.46</v>
      </c>
      <c r="E11" s="31">
        <f t="shared" si="1"/>
        <v>68910.35</v>
      </c>
      <c r="F11" s="31">
        <f t="shared" si="1"/>
        <v>65700.26</v>
      </c>
      <c r="G11" s="31">
        <f t="shared" si="1"/>
        <v>45918.950000000004</v>
      </c>
      <c r="H11" s="31">
        <f>SUM(H7:H10)</f>
        <v>59480.23999999999</v>
      </c>
      <c r="I11" s="13">
        <f t="shared" si="0"/>
        <v>485336.51000000007</v>
      </c>
      <c r="J11" s="36"/>
      <c r="K11" s="36"/>
      <c r="L11" s="7"/>
    </row>
    <row r="12" spans="1:12" ht="12.75">
      <c r="A12" s="14">
        <v>45323</v>
      </c>
      <c r="B12" s="31">
        <f>52993.98-7364.64+163.58+1773.24-2.6</f>
        <v>47563.560000000005</v>
      </c>
      <c r="C12" s="31">
        <f>63611.34+188.85+1130.66-84.83</f>
        <v>64846.02</v>
      </c>
      <c r="D12" s="11">
        <f>69425.35-8049.09+222.74+1419.04-338.59</f>
        <v>62679.45000000001</v>
      </c>
      <c r="E12" s="31">
        <f>72124.46+8.56+1214.28+7334-0.17</f>
        <v>80681.13</v>
      </c>
      <c r="F12" s="31">
        <f>56867.69+1.4+1157.72-286.47</f>
        <v>57740.340000000004</v>
      </c>
      <c r="G12" s="31">
        <f>47648.43+80.13+809.15+4853-1090.45</f>
        <v>52300.26</v>
      </c>
      <c r="H12" s="31">
        <f>70800.25+7080-143.55</f>
        <v>77736.7</v>
      </c>
      <c r="I12" s="13">
        <f t="shared" si="0"/>
        <v>443547.4600000001</v>
      </c>
      <c r="J12" s="18"/>
      <c r="K12" s="18"/>
      <c r="L12" s="7"/>
    </row>
    <row r="13" spans="1:12" ht="25.5">
      <c r="A13" s="107" t="s">
        <v>22</v>
      </c>
      <c r="B13" s="72">
        <v>52165.12</v>
      </c>
      <c r="C13" s="72">
        <v>5165.72</v>
      </c>
      <c r="D13" s="73">
        <v>10131.56</v>
      </c>
      <c r="E13" s="72">
        <v>0</v>
      </c>
      <c r="F13" s="72">
        <v>9725.17</v>
      </c>
      <c r="G13" s="72">
        <v>0</v>
      </c>
      <c r="H13" s="72">
        <v>0</v>
      </c>
      <c r="I13" s="13">
        <f t="shared" si="0"/>
        <v>77187.57</v>
      </c>
      <c r="J13" s="46"/>
      <c r="K13" s="46"/>
      <c r="L13" s="7"/>
    </row>
    <row r="14" spans="1:12" ht="38.25">
      <c r="A14" s="107" t="s">
        <v>87</v>
      </c>
      <c r="B14" s="72">
        <v>0</v>
      </c>
      <c r="C14" s="72">
        <v>944.53</v>
      </c>
      <c r="D14" s="73">
        <v>0</v>
      </c>
      <c r="E14" s="72">
        <v>0</v>
      </c>
      <c r="F14" s="72">
        <v>3789.07</v>
      </c>
      <c r="G14" s="72">
        <v>0</v>
      </c>
      <c r="H14" s="72">
        <v>0</v>
      </c>
      <c r="I14" s="13">
        <f t="shared" si="0"/>
        <v>4733.6</v>
      </c>
      <c r="J14" s="46"/>
      <c r="K14" s="46"/>
      <c r="L14" s="7"/>
    </row>
    <row r="15" spans="1:12" ht="25.5">
      <c r="A15" s="47" t="s">
        <v>23</v>
      </c>
      <c r="B15" s="72">
        <v>1042.81</v>
      </c>
      <c r="C15" s="72">
        <v>485.57</v>
      </c>
      <c r="D15" s="73">
        <v>503.31</v>
      </c>
      <c r="E15" s="72">
        <v>0</v>
      </c>
      <c r="F15" s="72">
        <v>518.26</v>
      </c>
      <c r="G15" s="72">
        <v>0</v>
      </c>
      <c r="H15" s="72">
        <v>0</v>
      </c>
      <c r="I15" s="13">
        <f t="shared" si="0"/>
        <v>2549.95</v>
      </c>
      <c r="J15" s="46"/>
      <c r="K15" s="46"/>
      <c r="L15" s="7"/>
    </row>
    <row r="16" spans="1:12" ht="25.5">
      <c r="A16" s="89" t="s">
        <v>24</v>
      </c>
      <c r="B16" s="31">
        <f aca="true" t="shared" si="2" ref="B16:G16">SUM(B12:B15)</f>
        <v>100771.49</v>
      </c>
      <c r="C16" s="31">
        <f t="shared" si="2"/>
        <v>71441.84</v>
      </c>
      <c r="D16" s="31">
        <f t="shared" si="2"/>
        <v>73314.32</v>
      </c>
      <c r="E16" s="31">
        <f t="shared" si="2"/>
        <v>80681.13</v>
      </c>
      <c r="F16" s="31">
        <f t="shared" si="2"/>
        <v>71772.84000000001</v>
      </c>
      <c r="G16" s="31">
        <f t="shared" si="2"/>
        <v>52300.26</v>
      </c>
      <c r="H16" s="31">
        <f>SUM(H12:H15)</f>
        <v>77736.7</v>
      </c>
      <c r="I16" s="13">
        <f t="shared" si="0"/>
        <v>528018.5800000001</v>
      </c>
      <c r="J16" s="18"/>
      <c r="K16" s="18"/>
      <c r="L16" s="7"/>
    </row>
    <row r="17" spans="1:12" ht="12.75">
      <c r="A17" s="14">
        <v>45352</v>
      </c>
      <c r="B17" s="31">
        <f>54153.42+2.6+346.57+42.01</f>
        <v>54544.6</v>
      </c>
      <c r="C17" s="31">
        <f>62859.76+84.83+233.35+48.77</f>
        <v>63226.71</v>
      </c>
      <c r="D17" s="11">
        <f>68602.29+338.59+264.73+53.22</f>
        <v>69258.82999999999</v>
      </c>
      <c r="E17" s="31">
        <f>71264.17-7334+0.17+257.41+55.28</f>
        <v>64243.03</v>
      </c>
      <c r="F17" s="31">
        <f>56186.71+286.47+236.56+43.59</f>
        <v>56753.329999999994</v>
      </c>
      <c r="G17" s="31">
        <f>45664.6-4853+1090.45+169+35.42</f>
        <v>42106.469999999994</v>
      </c>
      <c r="H17" s="31">
        <f>69815.3-7080+143.55+236.12+54.16</f>
        <v>63169.13000000001</v>
      </c>
      <c r="I17" s="13">
        <f t="shared" si="0"/>
        <v>413302.1</v>
      </c>
      <c r="J17" s="18"/>
      <c r="K17" s="18"/>
      <c r="L17" s="7"/>
    </row>
    <row r="18" spans="1:12" ht="25.5">
      <c r="A18" s="107" t="s">
        <v>25</v>
      </c>
      <c r="B18" s="44"/>
      <c r="C18" s="44"/>
      <c r="D18" s="45"/>
      <c r="E18" s="44"/>
      <c r="F18" s="44"/>
      <c r="G18" s="44"/>
      <c r="H18" s="44"/>
      <c r="I18" s="13">
        <f t="shared" si="0"/>
        <v>0</v>
      </c>
      <c r="J18" s="46"/>
      <c r="K18" s="46"/>
      <c r="L18" s="7"/>
    </row>
    <row r="19" spans="1:12" ht="38.25">
      <c r="A19" s="107" t="s">
        <v>90</v>
      </c>
      <c r="B19" s="44"/>
      <c r="C19" s="44"/>
      <c r="D19" s="45"/>
      <c r="E19" s="44"/>
      <c r="F19" s="44"/>
      <c r="G19" s="44"/>
      <c r="H19" s="44"/>
      <c r="I19" s="13">
        <f t="shared" si="0"/>
        <v>0</v>
      </c>
      <c r="J19" s="46"/>
      <c r="K19" s="46"/>
      <c r="L19" s="7"/>
    </row>
    <row r="20" spans="1:12" ht="25.5">
      <c r="A20" s="47" t="s">
        <v>26</v>
      </c>
      <c r="B20" s="44"/>
      <c r="C20" s="44"/>
      <c r="D20" s="45"/>
      <c r="E20" s="44"/>
      <c r="F20" s="44"/>
      <c r="G20" s="44"/>
      <c r="H20" s="44"/>
      <c r="I20" s="13">
        <f t="shared" si="0"/>
        <v>0</v>
      </c>
      <c r="J20" s="46"/>
      <c r="K20" s="46"/>
      <c r="L20" s="7"/>
    </row>
    <row r="21" spans="1:12" ht="25.5">
      <c r="A21" s="89" t="s">
        <v>27</v>
      </c>
      <c r="B21" s="35">
        <f aca="true" t="shared" si="3" ref="B21:G21">SUM(B17:B20)</f>
        <v>54544.6</v>
      </c>
      <c r="C21" s="35">
        <f t="shared" si="3"/>
        <v>63226.71</v>
      </c>
      <c r="D21" s="31">
        <f t="shared" si="3"/>
        <v>69258.82999999999</v>
      </c>
      <c r="E21" s="31">
        <f t="shared" si="3"/>
        <v>64243.03</v>
      </c>
      <c r="F21" s="31">
        <f t="shared" si="3"/>
        <v>56753.329999999994</v>
      </c>
      <c r="G21" s="31">
        <f t="shared" si="3"/>
        <v>42106.469999999994</v>
      </c>
      <c r="H21" s="31">
        <f>SUM(H17:H20)</f>
        <v>63169.13000000001</v>
      </c>
      <c r="I21" s="13">
        <f t="shared" si="0"/>
        <v>413302.1</v>
      </c>
      <c r="J21" s="18"/>
      <c r="K21" s="18"/>
      <c r="L21" s="7"/>
    </row>
    <row r="22" spans="1:12" ht="12.75">
      <c r="A22" s="28" t="s">
        <v>28</v>
      </c>
      <c r="B22" s="34">
        <f aca="true" t="shared" si="4" ref="B22:H23">B7+B12+B17</f>
        <v>160096.7</v>
      </c>
      <c r="C22" s="34">
        <f t="shared" si="4"/>
        <v>188119.85</v>
      </c>
      <c r="D22" s="34">
        <f t="shared" si="4"/>
        <v>205470.47</v>
      </c>
      <c r="E22" s="34">
        <f t="shared" si="4"/>
        <v>213834.51</v>
      </c>
      <c r="F22" s="34">
        <f t="shared" si="4"/>
        <v>169574.77</v>
      </c>
      <c r="G22" s="34">
        <f t="shared" si="4"/>
        <v>139593.61000000002</v>
      </c>
      <c r="H22" s="34">
        <f t="shared" si="4"/>
        <v>200386.07</v>
      </c>
      <c r="I22" s="13">
        <f t="shared" si="0"/>
        <v>1277075.9800000002</v>
      </c>
      <c r="J22" s="4"/>
      <c r="K22" s="4"/>
      <c r="L22" s="7"/>
    </row>
    <row r="23" spans="1:12" ht="25.5">
      <c r="A23" s="48" t="s">
        <v>29</v>
      </c>
      <c r="B23" s="34">
        <f t="shared" si="4"/>
        <v>94334.03</v>
      </c>
      <c r="C23" s="34">
        <f t="shared" si="4"/>
        <v>8588.75</v>
      </c>
      <c r="D23" s="34">
        <f t="shared" si="4"/>
        <v>16958.3</v>
      </c>
      <c r="E23" s="34">
        <f t="shared" si="4"/>
        <v>0</v>
      </c>
      <c r="F23" s="34">
        <f t="shared" si="4"/>
        <v>20344.33</v>
      </c>
      <c r="G23" s="34">
        <f t="shared" si="4"/>
        <v>132.22</v>
      </c>
      <c r="H23" s="34">
        <f t="shared" si="4"/>
        <v>0</v>
      </c>
      <c r="I23" s="13">
        <f t="shared" si="0"/>
        <v>140357.63</v>
      </c>
      <c r="J23" s="4"/>
      <c r="K23" s="4"/>
      <c r="L23" s="7"/>
    </row>
    <row r="24" spans="1:12" ht="25.5">
      <c r="A24" s="48" t="s">
        <v>89</v>
      </c>
      <c r="B24" s="34">
        <f>B9+B14+B19</f>
        <v>0</v>
      </c>
      <c r="C24" s="34">
        <f aca="true" t="shared" si="5" ref="C24:I24">C9+C14+C19</f>
        <v>1196.53</v>
      </c>
      <c r="D24" s="34">
        <f t="shared" si="5"/>
        <v>70.8</v>
      </c>
      <c r="E24" s="34">
        <f t="shared" si="5"/>
        <v>0</v>
      </c>
      <c r="F24" s="34">
        <f t="shared" si="5"/>
        <v>3789.07</v>
      </c>
      <c r="G24" s="34">
        <f t="shared" si="5"/>
        <v>0</v>
      </c>
      <c r="H24" s="34">
        <f t="shared" si="5"/>
        <v>0</v>
      </c>
      <c r="I24" s="34">
        <f t="shared" si="5"/>
        <v>5056.400000000001</v>
      </c>
      <c r="J24" s="4"/>
      <c r="K24" s="4"/>
      <c r="L24" s="7"/>
    </row>
    <row r="25" spans="1:12" ht="25.5">
      <c r="A25" s="48" t="s">
        <v>30</v>
      </c>
      <c r="B25" s="34">
        <f aca="true" t="shared" si="6" ref="B25:H25">B10+B15+B20</f>
        <v>1516.69</v>
      </c>
      <c r="C25" s="34">
        <f t="shared" si="6"/>
        <v>928.3399999999999</v>
      </c>
      <c r="D25" s="34">
        <f t="shared" si="6"/>
        <v>604.04</v>
      </c>
      <c r="E25" s="34">
        <f t="shared" si="6"/>
        <v>0</v>
      </c>
      <c r="F25" s="34">
        <f t="shared" si="6"/>
        <v>518.26</v>
      </c>
      <c r="G25" s="34">
        <f t="shared" si="6"/>
        <v>599.85</v>
      </c>
      <c r="H25" s="34">
        <f t="shared" si="6"/>
        <v>0</v>
      </c>
      <c r="I25" s="13">
        <f t="shared" si="0"/>
        <v>4167.18</v>
      </c>
      <c r="J25" s="4"/>
      <c r="K25" s="4"/>
      <c r="L25" s="7"/>
    </row>
    <row r="26" spans="1:12" ht="38.25">
      <c r="A26" s="48" t="s">
        <v>31</v>
      </c>
      <c r="B26" s="34">
        <f aca="true" t="shared" si="7" ref="B26:G26">SUM(B22:B25)</f>
        <v>255947.42</v>
      </c>
      <c r="C26" s="34">
        <f t="shared" si="7"/>
        <v>198833.47</v>
      </c>
      <c r="D26" s="34">
        <f t="shared" si="7"/>
        <v>223103.61</v>
      </c>
      <c r="E26" s="34">
        <f t="shared" si="7"/>
        <v>213834.51</v>
      </c>
      <c r="F26" s="34">
        <f t="shared" si="7"/>
        <v>194226.43</v>
      </c>
      <c r="G26" s="34">
        <f t="shared" si="7"/>
        <v>140325.68000000002</v>
      </c>
      <c r="H26" s="34">
        <f>SUM(H22:H25)</f>
        <v>200386.07</v>
      </c>
      <c r="I26" s="13">
        <f t="shared" si="0"/>
        <v>1426657.19</v>
      </c>
      <c r="J26" s="4"/>
      <c r="K26" s="4"/>
      <c r="L26" s="7"/>
    </row>
    <row r="27" spans="1:12" ht="12.75">
      <c r="A27" s="14">
        <v>45383</v>
      </c>
      <c r="B27" s="49">
        <v>51512.41</v>
      </c>
      <c r="C27" s="37">
        <v>59387.69</v>
      </c>
      <c r="D27" s="37">
        <v>65237.32</v>
      </c>
      <c r="E27" s="37">
        <v>67776.92</v>
      </c>
      <c r="F27" s="37">
        <v>53441.5</v>
      </c>
      <c r="G27" s="37">
        <v>43423.22</v>
      </c>
      <c r="H27" s="37">
        <v>66407.94</v>
      </c>
      <c r="I27" s="13">
        <f t="shared" si="0"/>
        <v>407187.00000000006</v>
      </c>
      <c r="J27" s="18"/>
      <c r="K27" s="18"/>
      <c r="L27" s="7"/>
    </row>
    <row r="28" spans="1:12" ht="25.5">
      <c r="A28" s="43" t="s">
        <v>32</v>
      </c>
      <c r="B28" s="50"/>
      <c r="C28" s="51"/>
      <c r="D28" s="51"/>
      <c r="E28" s="51"/>
      <c r="F28" s="51"/>
      <c r="G28" s="51"/>
      <c r="H28" s="51"/>
      <c r="I28" s="13">
        <f t="shared" si="0"/>
        <v>0</v>
      </c>
      <c r="J28" s="53"/>
      <c r="K28" s="53"/>
      <c r="L28" s="7"/>
    </row>
    <row r="29" spans="1:12" ht="25.5">
      <c r="A29" s="47" t="s">
        <v>33</v>
      </c>
      <c r="B29" s="50"/>
      <c r="C29" s="51"/>
      <c r="D29" s="51"/>
      <c r="E29" s="51"/>
      <c r="F29" s="51"/>
      <c r="G29" s="51"/>
      <c r="H29" s="51"/>
      <c r="I29" s="13">
        <f t="shared" si="0"/>
        <v>0</v>
      </c>
      <c r="J29" s="53"/>
      <c r="K29" s="53"/>
      <c r="L29" s="7"/>
    </row>
    <row r="30" spans="1:12" ht="25.5">
      <c r="A30" s="89" t="s">
        <v>34</v>
      </c>
      <c r="B30" s="49">
        <f aca="true" t="shared" si="8" ref="B30:H30">SUM(B27:B29)</f>
        <v>51512.41</v>
      </c>
      <c r="C30" s="49">
        <f t="shared" si="8"/>
        <v>59387.69</v>
      </c>
      <c r="D30" s="49">
        <f t="shared" si="8"/>
        <v>65237.32</v>
      </c>
      <c r="E30" s="49">
        <f t="shared" si="8"/>
        <v>67776.92</v>
      </c>
      <c r="F30" s="49">
        <f t="shared" si="8"/>
        <v>53441.5</v>
      </c>
      <c r="G30" s="49">
        <f t="shared" si="8"/>
        <v>43423.22</v>
      </c>
      <c r="H30" s="49">
        <f t="shared" si="8"/>
        <v>66407.94</v>
      </c>
      <c r="I30" s="13">
        <f t="shared" si="0"/>
        <v>407187.00000000006</v>
      </c>
      <c r="J30" s="18"/>
      <c r="K30" s="18"/>
      <c r="L30" s="7"/>
    </row>
    <row r="31" spans="1:12" ht="12.75">
      <c r="A31" s="14">
        <v>45413</v>
      </c>
      <c r="B31" s="49"/>
      <c r="C31" s="37"/>
      <c r="D31" s="37"/>
      <c r="E31" s="37"/>
      <c r="F31" s="37"/>
      <c r="G31" s="37"/>
      <c r="H31" s="37"/>
      <c r="I31" s="13">
        <f t="shared" si="0"/>
        <v>0</v>
      </c>
      <c r="J31" s="18"/>
      <c r="K31" s="18"/>
      <c r="L31" s="7"/>
    </row>
    <row r="32" spans="1:12" ht="25.5">
      <c r="A32" s="43" t="s">
        <v>35</v>
      </c>
      <c r="B32" s="50"/>
      <c r="C32" s="51"/>
      <c r="D32" s="51"/>
      <c r="E32" s="51"/>
      <c r="F32" s="51"/>
      <c r="G32" s="51"/>
      <c r="H32" s="51"/>
      <c r="I32" s="13">
        <f t="shared" si="0"/>
        <v>0</v>
      </c>
      <c r="J32" s="54"/>
      <c r="K32" s="54"/>
      <c r="L32" s="7"/>
    </row>
    <row r="33" spans="1:12" ht="25.5">
      <c r="A33" s="47" t="s">
        <v>36</v>
      </c>
      <c r="B33" s="50"/>
      <c r="C33" s="51"/>
      <c r="D33" s="51"/>
      <c r="E33" s="51"/>
      <c r="F33" s="51"/>
      <c r="G33" s="51"/>
      <c r="H33" s="51"/>
      <c r="I33" s="13">
        <f t="shared" si="0"/>
        <v>0</v>
      </c>
      <c r="J33" s="54"/>
      <c r="K33" s="54"/>
      <c r="L33" s="7"/>
    </row>
    <row r="34" spans="1:12" ht="12.75">
      <c r="A34" s="89" t="s">
        <v>37</v>
      </c>
      <c r="B34" s="49">
        <f aca="true" t="shared" si="9" ref="B34:H34">SUM(B31:B33)</f>
        <v>0</v>
      </c>
      <c r="C34" s="49">
        <f t="shared" si="9"/>
        <v>0</v>
      </c>
      <c r="D34" s="49">
        <f t="shared" si="9"/>
        <v>0</v>
      </c>
      <c r="E34" s="49">
        <f t="shared" si="9"/>
        <v>0</v>
      </c>
      <c r="F34" s="49">
        <f t="shared" si="9"/>
        <v>0</v>
      </c>
      <c r="G34" s="49">
        <f t="shared" si="9"/>
        <v>0</v>
      </c>
      <c r="H34" s="49">
        <f t="shared" si="9"/>
        <v>0</v>
      </c>
      <c r="I34" s="13">
        <f t="shared" si="0"/>
        <v>0</v>
      </c>
      <c r="J34" s="18"/>
      <c r="K34" s="18"/>
      <c r="L34" s="7"/>
    </row>
    <row r="35" spans="1:12" ht="12.75">
      <c r="A35" s="14">
        <v>45444</v>
      </c>
      <c r="B35" s="55"/>
      <c r="C35" s="31"/>
      <c r="D35" s="31"/>
      <c r="E35" s="31"/>
      <c r="F35" s="31"/>
      <c r="G35" s="31"/>
      <c r="H35" s="31"/>
      <c r="I35" s="13">
        <f t="shared" si="0"/>
        <v>0</v>
      </c>
      <c r="J35" s="18"/>
      <c r="K35" s="18"/>
      <c r="L35" s="7"/>
    </row>
    <row r="36" spans="1:12" ht="25.5">
      <c r="A36" s="43" t="s">
        <v>38</v>
      </c>
      <c r="B36" s="56"/>
      <c r="C36" s="57"/>
      <c r="D36" s="57"/>
      <c r="E36" s="57"/>
      <c r="F36" s="57"/>
      <c r="G36" s="57"/>
      <c r="H36" s="57"/>
      <c r="I36" s="13">
        <f t="shared" si="0"/>
        <v>0</v>
      </c>
      <c r="J36" s="54"/>
      <c r="K36" s="54"/>
      <c r="L36" s="7"/>
    </row>
    <row r="37" spans="1:12" ht="25.5">
      <c r="A37" s="47" t="s">
        <v>39</v>
      </c>
      <c r="B37" s="56"/>
      <c r="C37" s="57"/>
      <c r="D37" s="57"/>
      <c r="E37" s="57"/>
      <c r="F37" s="57"/>
      <c r="G37" s="57"/>
      <c r="H37" s="57"/>
      <c r="I37" s="13">
        <f t="shared" si="0"/>
        <v>0</v>
      </c>
      <c r="J37" s="54"/>
      <c r="K37" s="54"/>
      <c r="L37" s="7"/>
    </row>
    <row r="38" spans="1:12" ht="25.5">
      <c r="A38" s="59" t="s">
        <v>40</v>
      </c>
      <c r="B38" s="55">
        <f aca="true" t="shared" si="10" ref="B38:H38">SUM(B35:B37)</f>
        <v>0</v>
      </c>
      <c r="C38" s="55">
        <f t="shared" si="10"/>
        <v>0</v>
      </c>
      <c r="D38" s="55">
        <f t="shared" si="10"/>
        <v>0</v>
      </c>
      <c r="E38" s="55">
        <f t="shared" si="10"/>
        <v>0</v>
      </c>
      <c r="F38" s="55">
        <f t="shared" si="10"/>
        <v>0</v>
      </c>
      <c r="G38" s="55">
        <f t="shared" si="10"/>
        <v>0</v>
      </c>
      <c r="H38" s="55">
        <f t="shared" si="10"/>
        <v>0</v>
      </c>
      <c r="I38" s="13">
        <f t="shared" si="0"/>
        <v>0</v>
      </c>
      <c r="J38" s="60"/>
      <c r="K38" s="60"/>
      <c r="L38" s="7"/>
    </row>
    <row r="39" spans="1:12" ht="12.75">
      <c r="A39" s="15" t="s">
        <v>41</v>
      </c>
      <c r="B39" s="34">
        <f aca="true" t="shared" si="11" ref="B39:H41">B27+B31+B35</f>
        <v>51512.41</v>
      </c>
      <c r="C39" s="34">
        <f t="shared" si="11"/>
        <v>59387.69</v>
      </c>
      <c r="D39" s="34">
        <f t="shared" si="11"/>
        <v>65237.32</v>
      </c>
      <c r="E39" s="34">
        <f t="shared" si="11"/>
        <v>67776.92</v>
      </c>
      <c r="F39" s="34">
        <f t="shared" si="11"/>
        <v>53441.5</v>
      </c>
      <c r="G39" s="34">
        <f t="shared" si="11"/>
        <v>43423.22</v>
      </c>
      <c r="H39" s="34">
        <f t="shared" si="11"/>
        <v>66407.94</v>
      </c>
      <c r="I39" s="13">
        <f t="shared" si="0"/>
        <v>407187.00000000006</v>
      </c>
      <c r="J39" s="18"/>
      <c r="K39" s="18"/>
      <c r="L39" s="7"/>
    </row>
    <row r="40" spans="1:12" ht="25.5">
      <c r="A40" s="48" t="s">
        <v>42</v>
      </c>
      <c r="B40" s="34">
        <f t="shared" si="11"/>
        <v>0</v>
      </c>
      <c r="C40" s="34">
        <f t="shared" si="11"/>
        <v>0</v>
      </c>
      <c r="D40" s="34">
        <f t="shared" si="11"/>
        <v>0</v>
      </c>
      <c r="E40" s="34">
        <f t="shared" si="11"/>
        <v>0</v>
      </c>
      <c r="F40" s="34">
        <f t="shared" si="11"/>
        <v>0</v>
      </c>
      <c r="G40" s="34">
        <f t="shared" si="11"/>
        <v>0</v>
      </c>
      <c r="H40" s="34">
        <f t="shared" si="11"/>
        <v>0</v>
      </c>
      <c r="I40" s="13">
        <f t="shared" si="0"/>
        <v>0</v>
      </c>
      <c r="J40" s="4"/>
      <c r="K40" s="4"/>
      <c r="L40" s="7"/>
    </row>
    <row r="41" spans="1:12" ht="25.5">
      <c r="A41" s="48" t="s">
        <v>43</v>
      </c>
      <c r="B41" s="34">
        <f t="shared" si="11"/>
        <v>0</v>
      </c>
      <c r="C41" s="34">
        <f t="shared" si="11"/>
        <v>0</v>
      </c>
      <c r="D41" s="34">
        <f t="shared" si="11"/>
        <v>0</v>
      </c>
      <c r="E41" s="34">
        <f t="shared" si="11"/>
        <v>0</v>
      </c>
      <c r="F41" s="34">
        <f t="shared" si="11"/>
        <v>0</v>
      </c>
      <c r="G41" s="34">
        <f t="shared" si="11"/>
        <v>0</v>
      </c>
      <c r="H41" s="34">
        <f t="shared" si="11"/>
        <v>0</v>
      </c>
      <c r="I41" s="13">
        <f t="shared" si="0"/>
        <v>0</v>
      </c>
      <c r="J41" s="4"/>
      <c r="K41" s="4"/>
      <c r="L41" s="7"/>
    </row>
    <row r="42" spans="1:12" ht="38.25">
      <c r="A42" s="48" t="s">
        <v>44</v>
      </c>
      <c r="B42" s="34">
        <f>B39+B40+B41</f>
        <v>51512.41</v>
      </c>
      <c r="C42" s="34">
        <f aca="true" t="shared" si="12" ref="C42:H42">C39+C40+C41</f>
        <v>59387.69</v>
      </c>
      <c r="D42" s="34">
        <f t="shared" si="12"/>
        <v>65237.32</v>
      </c>
      <c r="E42" s="34">
        <f t="shared" si="12"/>
        <v>67776.92</v>
      </c>
      <c r="F42" s="34">
        <f t="shared" si="12"/>
        <v>53441.5</v>
      </c>
      <c r="G42" s="34">
        <f t="shared" si="12"/>
        <v>43423.22</v>
      </c>
      <c r="H42" s="34">
        <f t="shared" si="12"/>
        <v>66407.94</v>
      </c>
      <c r="I42" s="13">
        <f t="shared" si="0"/>
        <v>407187.00000000006</v>
      </c>
      <c r="J42" s="18"/>
      <c r="K42" s="18"/>
      <c r="L42" s="7"/>
    </row>
    <row r="43" spans="1:12" ht="12.75">
      <c r="A43" s="14">
        <v>45474</v>
      </c>
      <c r="B43" s="37"/>
      <c r="C43" s="37"/>
      <c r="D43" s="37"/>
      <c r="E43" s="37"/>
      <c r="F43" s="37"/>
      <c r="G43" s="31"/>
      <c r="H43" s="37"/>
      <c r="I43" s="13">
        <f t="shared" si="0"/>
        <v>0</v>
      </c>
      <c r="J43" s="18"/>
      <c r="K43" s="18"/>
      <c r="L43" s="7"/>
    </row>
    <row r="44" spans="1:12" ht="25.5">
      <c r="A44" s="47" t="s">
        <v>45</v>
      </c>
      <c r="B44" s="86"/>
      <c r="C44" s="51"/>
      <c r="D44" s="51"/>
      <c r="E44" s="51"/>
      <c r="F44" s="51"/>
      <c r="G44" s="51"/>
      <c r="H44" s="51"/>
      <c r="I44" s="13">
        <f t="shared" si="0"/>
        <v>0</v>
      </c>
      <c r="J44" s="53"/>
      <c r="K44" s="53"/>
      <c r="L44" s="7"/>
    </row>
    <row r="45" spans="1:12" ht="25.5">
      <c r="A45" s="47" t="s">
        <v>46</v>
      </c>
      <c r="B45" s="51"/>
      <c r="C45" s="51"/>
      <c r="D45" s="51"/>
      <c r="E45" s="51"/>
      <c r="F45" s="51"/>
      <c r="G45" s="51"/>
      <c r="H45" s="51"/>
      <c r="I45" s="13">
        <f t="shared" si="0"/>
        <v>0</v>
      </c>
      <c r="J45" s="53"/>
      <c r="K45" s="53"/>
      <c r="L45" s="7"/>
    </row>
    <row r="46" spans="1:12" ht="25.5">
      <c r="A46" s="59" t="s">
        <v>47</v>
      </c>
      <c r="B46" s="37">
        <f aca="true" t="shared" si="13" ref="B46:G46">B43+B44+B45</f>
        <v>0</v>
      </c>
      <c r="C46" s="37">
        <f t="shared" si="13"/>
        <v>0</v>
      </c>
      <c r="D46" s="37">
        <f t="shared" si="13"/>
        <v>0</v>
      </c>
      <c r="E46" s="37">
        <f t="shared" si="13"/>
        <v>0</v>
      </c>
      <c r="F46" s="37">
        <f t="shared" si="13"/>
        <v>0</v>
      </c>
      <c r="G46" s="37">
        <f t="shared" si="13"/>
        <v>0</v>
      </c>
      <c r="H46" s="37">
        <f>H43+H44+H45</f>
        <v>0</v>
      </c>
      <c r="I46" s="13">
        <f t="shared" si="0"/>
        <v>0</v>
      </c>
      <c r="J46" s="61"/>
      <c r="K46" s="61"/>
      <c r="L46" s="7"/>
    </row>
    <row r="47" spans="1:12" ht="12.75">
      <c r="A47" s="14">
        <v>45505</v>
      </c>
      <c r="B47" s="37"/>
      <c r="C47" s="37"/>
      <c r="D47" s="37"/>
      <c r="E47" s="37"/>
      <c r="F47" s="37"/>
      <c r="G47" s="31"/>
      <c r="H47" s="37"/>
      <c r="I47" s="13">
        <f t="shared" si="0"/>
        <v>0</v>
      </c>
      <c r="J47" s="18"/>
      <c r="K47" s="18"/>
      <c r="L47" s="7"/>
    </row>
    <row r="48" spans="1:12" ht="25.5">
      <c r="A48" s="47" t="s">
        <v>48</v>
      </c>
      <c r="B48" s="51"/>
      <c r="C48" s="51"/>
      <c r="D48" s="51"/>
      <c r="E48" s="51"/>
      <c r="F48" s="51"/>
      <c r="G48" s="51"/>
      <c r="H48" s="51"/>
      <c r="I48" s="13">
        <f t="shared" si="0"/>
        <v>0</v>
      </c>
      <c r="J48" s="54"/>
      <c r="K48" s="54"/>
      <c r="L48" s="7"/>
    </row>
    <row r="49" spans="1:12" ht="25.5">
      <c r="A49" s="47" t="s">
        <v>49</v>
      </c>
      <c r="B49" s="51"/>
      <c r="C49" s="51"/>
      <c r="D49" s="51"/>
      <c r="E49" s="51"/>
      <c r="F49" s="51"/>
      <c r="G49" s="51"/>
      <c r="H49" s="51"/>
      <c r="I49" s="13">
        <f t="shared" si="0"/>
        <v>0</v>
      </c>
      <c r="J49" s="54"/>
      <c r="K49" s="54"/>
      <c r="L49" s="7"/>
    </row>
    <row r="50" spans="1:12" ht="25.5">
      <c r="A50" s="59" t="s">
        <v>50</v>
      </c>
      <c r="B50" s="37">
        <f aca="true" t="shared" si="14" ref="B50:G50">SUM(B47:B49)</f>
        <v>0</v>
      </c>
      <c r="C50" s="37">
        <f t="shared" si="14"/>
        <v>0</v>
      </c>
      <c r="D50" s="37">
        <f t="shared" si="14"/>
        <v>0</v>
      </c>
      <c r="E50" s="37">
        <f t="shared" si="14"/>
        <v>0</v>
      </c>
      <c r="F50" s="37">
        <f t="shared" si="14"/>
        <v>0</v>
      </c>
      <c r="G50" s="37">
        <f t="shared" si="14"/>
        <v>0</v>
      </c>
      <c r="H50" s="37">
        <f>SUM(H47:H49)</f>
        <v>0</v>
      </c>
      <c r="I50" s="13">
        <f t="shared" si="0"/>
        <v>0</v>
      </c>
      <c r="J50" s="18"/>
      <c r="K50" s="18"/>
      <c r="L50" s="7"/>
    </row>
    <row r="51" spans="1:12" ht="12.75">
      <c r="A51" s="14">
        <v>45536</v>
      </c>
      <c r="B51" s="37"/>
      <c r="C51" s="37"/>
      <c r="D51" s="37"/>
      <c r="E51" s="37"/>
      <c r="F51" s="37"/>
      <c r="G51" s="31"/>
      <c r="H51" s="37"/>
      <c r="I51" s="13">
        <f t="shared" si="0"/>
        <v>0</v>
      </c>
      <c r="J51" s="18"/>
      <c r="K51" s="18"/>
      <c r="L51" s="7"/>
    </row>
    <row r="52" spans="1:12" ht="25.5">
      <c r="A52" s="47" t="s">
        <v>51</v>
      </c>
      <c r="B52" s="51"/>
      <c r="C52" s="51"/>
      <c r="D52" s="51"/>
      <c r="E52" s="51"/>
      <c r="F52" s="51"/>
      <c r="G52" s="51"/>
      <c r="H52" s="51"/>
      <c r="I52" s="13">
        <f t="shared" si="0"/>
        <v>0</v>
      </c>
      <c r="J52" s="53"/>
      <c r="K52" s="53"/>
      <c r="L52" s="7"/>
    </row>
    <row r="53" spans="1:12" ht="25.5">
      <c r="A53" s="47" t="s">
        <v>52</v>
      </c>
      <c r="B53" s="51"/>
      <c r="C53" s="51"/>
      <c r="D53" s="52"/>
      <c r="E53" s="51"/>
      <c r="F53" s="51"/>
      <c r="G53" s="51"/>
      <c r="H53" s="52"/>
      <c r="I53" s="13">
        <f t="shared" si="0"/>
        <v>0</v>
      </c>
      <c r="J53" s="53"/>
      <c r="K53" s="53"/>
      <c r="L53" s="7"/>
    </row>
    <row r="54" spans="1:12" ht="25.5">
      <c r="A54" s="59" t="s">
        <v>53</v>
      </c>
      <c r="B54" s="37">
        <f aca="true" t="shared" si="15" ref="B54:H54">B51+B52+B53</f>
        <v>0</v>
      </c>
      <c r="C54" s="37">
        <f t="shared" si="15"/>
        <v>0</v>
      </c>
      <c r="D54" s="37">
        <f t="shared" si="15"/>
        <v>0</v>
      </c>
      <c r="E54" s="37">
        <f t="shared" si="15"/>
        <v>0</v>
      </c>
      <c r="F54" s="37">
        <f t="shared" si="15"/>
        <v>0</v>
      </c>
      <c r="G54" s="37">
        <f t="shared" si="15"/>
        <v>0</v>
      </c>
      <c r="H54" s="37">
        <f t="shared" si="15"/>
        <v>0</v>
      </c>
      <c r="I54" s="13">
        <f t="shared" si="0"/>
        <v>0</v>
      </c>
      <c r="J54" s="18"/>
      <c r="K54" s="18"/>
      <c r="L54" s="7"/>
    </row>
    <row r="55" spans="1:12" ht="12.75">
      <c r="A55" s="15" t="s">
        <v>54</v>
      </c>
      <c r="B55" s="34">
        <f aca="true" t="shared" si="16" ref="B55:G55">B43+B47+B51</f>
        <v>0</v>
      </c>
      <c r="C55" s="34">
        <f t="shared" si="16"/>
        <v>0</v>
      </c>
      <c r="D55" s="34">
        <f t="shared" si="16"/>
        <v>0</v>
      </c>
      <c r="E55" s="34">
        <f t="shared" si="16"/>
        <v>0</v>
      </c>
      <c r="F55" s="34">
        <f t="shared" si="16"/>
        <v>0</v>
      </c>
      <c r="G55" s="34">
        <f t="shared" si="16"/>
        <v>0</v>
      </c>
      <c r="H55" s="34">
        <f>H43+H47+H51</f>
        <v>0</v>
      </c>
      <c r="I55" s="13">
        <f t="shared" si="0"/>
        <v>0</v>
      </c>
      <c r="J55" s="18"/>
      <c r="K55" s="18"/>
      <c r="L55" s="7"/>
    </row>
    <row r="56" spans="1:12" ht="25.5">
      <c r="A56" s="48" t="s">
        <v>55</v>
      </c>
      <c r="B56" s="34">
        <f aca="true" t="shared" si="17" ref="B56:G56">B45+B49+B53</f>
        <v>0</v>
      </c>
      <c r="C56" s="34">
        <f t="shared" si="17"/>
        <v>0</v>
      </c>
      <c r="D56" s="34">
        <f t="shared" si="17"/>
        <v>0</v>
      </c>
      <c r="E56" s="34">
        <f t="shared" si="17"/>
        <v>0</v>
      </c>
      <c r="F56" s="34">
        <f t="shared" si="17"/>
        <v>0</v>
      </c>
      <c r="G56" s="34">
        <f t="shared" si="17"/>
        <v>0</v>
      </c>
      <c r="H56" s="34">
        <f>H45+H49+H53</f>
        <v>0</v>
      </c>
      <c r="I56" s="13">
        <f t="shared" si="0"/>
        <v>0</v>
      </c>
      <c r="J56" s="18"/>
      <c r="K56" s="18"/>
      <c r="L56" s="7"/>
    </row>
    <row r="57" spans="1:12" ht="25.5">
      <c r="A57" s="48" t="s">
        <v>56</v>
      </c>
      <c r="B57" s="34">
        <f aca="true" t="shared" si="18" ref="B57:G57">B44+B48+B52</f>
        <v>0</v>
      </c>
      <c r="C57" s="34">
        <f t="shared" si="18"/>
        <v>0</v>
      </c>
      <c r="D57" s="34">
        <f t="shared" si="18"/>
        <v>0</v>
      </c>
      <c r="E57" s="34">
        <f t="shared" si="18"/>
        <v>0</v>
      </c>
      <c r="F57" s="34">
        <f t="shared" si="18"/>
        <v>0</v>
      </c>
      <c r="G57" s="34">
        <f t="shared" si="18"/>
        <v>0</v>
      </c>
      <c r="H57" s="34">
        <f>H44+H48+H52</f>
        <v>0</v>
      </c>
      <c r="I57" s="13">
        <f t="shared" si="0"/>
        <v>0</v>
      </c>
      <c r="J57" s="18"/>
      <c r="K57" s="18"/>
      <c r="L57" s="7"/>
    </row>
    <row r="58" spans="1:12" ht="38.25">
      <c r="A58" s="48" t="s">
        <v>57</v>
      </c>
      <c r="B58" s="34">
        <f aca="true" t="shared" si="19" ref="B58:H58">B55+B56+B57</f>
        <v>0</v>
      </c>
      <c r="C58" s="34">
        <f t="shared" si="19"/>
        <v>0</v>
      </c>
      <c r="D58" s="34">
        <f t="shared" si="19"/>
        <v>0</v>
      </c>
      <c r="E58" s="34">
        <f t="shared" si="19"/>
        <v>0</v>
      </c>
      <c r="F58" s="34">
        <f t="shared" si="19"/>
        <v>0</v>
      </c>
      <c r="G58" s="34">
        <f t="shared" si="19"/>
        <v>0</v>
      </c>
      <c r="H58" s="34">
        <f t="shared" si="19"/>
        <v>0</v>
      </c>
      <c r="I58" s="13">
        <f t="shared" si="0"/>
        <v>0</v>
      </c>
      <c r="J58" s="4"/>
      <c r="K58" s="4"/>
      <c r="L58" s="7"/>
    </row>
    <row r="59" spans="1:12" ht="12.75">
      <c r="A59" s="14">
        <v>45566</v>
      </c>
      <c r="B59" s="31"/>
      <c r="C59" s="31"/>
      <c r="D59" s="31"/>
      <c r="E59" s="37"/>
      <c r="F59" s="31"/>
      <c r="G59" s="31"/>
      <c r="H59" s="37"/>
      <c r="I59" s="13">
        <f t="shared" si="0"/>
        <v>0</v>
      </c>
      <c r="J59" s="18"/>
      <c r="K59" s="18"/>
      <c r="L59" s="7"/>
    </row>
    <row r="60" spans="1:12" ht="25.5">
      <c r="A60" s="47" t="s">
        <v>58</v>
      </c>
      <c r="B60" s="57"/>
      <c r="C60" s="57"/>
      <c r="D60" s="57"/>
      <c r="E60" s="57"/>
      <c r="F60" s="57"/>
      <c r="G60" s="57"/>
      <c r="H60" s="57"/>
      <c r="I60" s="13">
        <f t="shared" si="0"/>
        <v>0</v>
      </c>
      <c r="J60" s="54"/>
      <c r="K60" s="54"/>
      <c r="L60" s="7"/>
    </row>
    <row r="61" spans="1:12" ht="25.5">
      <c r="A61" s="47" t="s">
        <v>59</v>
      </c>
      <c r="B61" s="57"/>
      <c r="C61" s="57"/>
      <c r="D61" s="57"/>
      <c r="E61" s="57"/>
      <c r="F61" s="57"/>
      <c r="G61" s="57"/>
      <c r="H61" s="57"/>
      <c r="I61" s="13">
        <f t="shared" si="0"/>
        <v>0</v>
      </c>
      <c r="J61" s="54"/>
      <c r="K61" s="54"/>
      <c r="L61" s="7"/>
    </row>
    <row r="62" spans="1:12" ht="12.75">
      <c r="A62" s="59" t="s">
        <v>60</v>
      </c>
      <c r="B62" s="31">
        <f aca="true" t="shared" si="20" ref="B62:G62">SUM(B59:B61)</f>
        <v>0</v>
      </c>
      <c r="C62" s="31">
        <f t="shared" si="20"/>
        <v>0</v>
      </c>
      <c r="D62" s="31">
        <f t="shared" si="20"/>
        <v>0</v>
      </c>
      <c r="E62" s="31">
        <f t="shared" si="20"/>
        <v>0</v>
      </c>
      <c r="F62" s="31">
        <f t="shared" si="20"/>
        <v>0</v>
      </c>
      <c r="G62" s="31">
        <f t="shared" si="20"/>
        <v>0</v>
      </c>
      <c r="H62" s="31">
        <f>SUM(H59:H61)</f>
        <v>0</v>
      </c>
      <c r="I62" s="13">
        <f t="shared" si="0"/>
        <v>0</v>
      </c>
      <c r="J62" s="18"/>
      <c r="K62" s="18"/>
      <c r="L62" s="7"/>
    </row>
    <row r="63" spans="1:12" ht="12.75">
      <c r="A63" s="38">
        <v>45597</v>
      </c>
      <c r="B63" s="11"/>
      <c r="C63" s="11"/>
      <c r="D63" s="11"/>
      <c r="E63" s="11"/>
      <c r="F63" s="11"/>
      <c r="G63" s="11"/>
      <c r="H63" s="11"/>
      <c r="I63" s="13">
        <f t="shared" si="0"/>
        <v>0</v>
      </c>
      <c r="J63" s="18"/>
      <c r="K63" s="18"/>
      <c r="L63" s="7"/>
    </row>
    <row r="64" spans="1:12" ht="25.5">
      <c r="A64" s="47" t="s">
        <v>61</v>
      </c>
      <c r="B64" s="58"/>
      <c r="C64" s="58"/>
      <c r="D64" s="58"/>
      <c r="E64" s="58"/>
      <c r="F64" s="58"/>
      <c r="G64" s="58"/>
      <c r="H64" s="58"/>
      <c r="I64" s="13">
        <f t="shared" si="0"/>
        <v>0</v>
      </c>
      <c r="J64" s="54"/>
      <c r="K64" s="54"/>
      <c r="L64" s="7"/>
    </row>
    <row r="65" spans="1:12" ht="25.5">
      <c r="A65" s="47" t="s">
        <v>62</v>
      </c>
      <c r="B65" s="58"/>
      <c r="C65" s="58"/>
      <c r="D65" s="58"/>
      <c r="E65" s="58"/>
      <c r="F65" s="58"/>
      <c r="G65" s="58"/>
      <c r="H65" s="58"/>
      <c r="I65" s="13">
        <f t="shared" si="0"/>
        <v>0</v>
      </c>
      <c r="J65" s="54"/>
      <c r="K65" s="54"/>
      <c r="L65" s="7"/>
    </row>
    <row r="66" spans="1:12" ht="12.75">
      <c r="A66" s="59" t="s">
        <v>63</v>
      </c>
      <c r="B66" s="11">
        <f aca="true" t="shared" si="21" ref="B66:G66">SUM(B63:B65)</f>
        <v>0</v>
      </c>
      <c r="C66" s="11">
        <f t="shared" si="21"/>
        <v>0</v>
      </c>
      <c r="D66" s="11">
        <f t="shared" si="21"/>
        <v>0</v>
      </c>
      <c r="E66" s="11">
        <f t="shared" si="21"/>
        <v>0</v>
      </c>
      <c r="F66" s="11">
        <f t="shared" si="21"/>
        <v>0</v>
      </c>
      <c r="G66" s="11">
        <f t="shared" si="21"/>
        <v>0</v>
      </c>
      <c r="H66" s="11">
        <f>SUM(H63:H65)</f>
        <v>0</v>
      </c>
      <c r="I66" s="13">
        <f t="shared" si="0"/>
        <v>0</v>
      </c>
      <c r="J66" s="18"/>
      <c r="K66" s="18"/>
      <c r="L66" s="7"/>
    </row>
    <row r="67" spans="1:12" ht="12.75">
      <c r="A67" s="14">
        <v>45627</v>
      </c>
      <c r="B67" s="31"/>
      <c r="C67" s="31"/>
      <c r="D67" s="31"/>
      <c r="E67" s="31"/>
      <c r="F67" s="31"/>
      <c r="G67" s="31"/>
      <c r="H67" s="31"/>
      <c r="I67" s="13">
        <f t="shared" si="0"/>
        <v>0</v>
      </c>
      <c r="J67" s="18"/>
      <c r="K67" s="18"/>
      <c r="L67" s="7"/>
    </row>
    <row r="68" spans="1:12" ht="25.5">
      <c r="A68" s="47" t="s">
        <v>64</v>
      </c>
      <c r="B68" s="31"/>
      <c r="C68" s="31"/>
      <c r="D68" s="31"/>
      <c r="E68" s="31"/>
      <c r="F68" s="31"/>
      <c r="G68" s="31"/>
      <c r="H68" s="31"/>
      <c r="I68" s="13">
        <f t="shared" si="0"/>
        <v>0</v>
      </c>
      <c r="J68" s="18"/>
      <c r="K68" s="18"/>
      <c r="L68" s="7"/>
    </row>
    <row r="69" spans="1:12" ht="25.5">
      <c r="A69" s="47" t="s">
        <v>65</v>
      </c>
      <c r="B69" s="31"/>
      <c r="C69" s="31"/>
      <c r="D69" s="31"/>
      <c r="E69" s="31"/>
      <c r="F69" s="31"/>
      <c r="G69" s="31"/>
      <c r="H69" s="31"/>
      <c r="I69" s="13">
        <f t="shared" si="0"/>
        <v>0</v>
      </c>
      <c r="J69" s="18"/>
      <c r="K69" s="18"/>
      <c r="L69" s="7"/>
    </row>
    <row r="70" spans="1:12" ht="12.75">
      <c r="A70" s="59" t="s">
        <v>66</v>
      </c>
      <c r="B70" s="31">
        <f aca="true" t="shared" si="22" ref="B70:G70">SUM(B67:B69)</f>
        <v>0</v>
      </c>
      <c r="C70" s="31">
        <f t="shared" si="22"/>
        <v>0</v>
      </c>
      <c r="D70" s="31">
        <f t="shared" si="22"/>
        <v>0</v>
      </c>
      <c r="E70" s="31">
        <f t="shared" si="22"/>
        <v>0</v>
      </c>
      <c r="F70" s="31">
        <f t="shared" si="22"/>
        <v>0</v>
      </c>
      <c r="G70" s="31">
        <f t="shared" si="22"/>
        <v>0</v>
      </c>
      <c r="H70" s="31">
        <f>SUM(H67:H69)</f>
        <v>0</v>
      </c>
      <c r="I70" s="13">
        <f t="shared" si="0"/>
        <v>0</v>
      </c>
      <c r="J70" s="18"/>
      <c r="K70" s="18"/>
      <c r="L70" s="7"/>
    </row>
    <row r="71" spans="1:12" ht="25.5">
      <c r="A71" s="5" t="s">
        <v>67</v>
      </c>
      <c r="B71" s="34">
        <f aca="true" t="shared" si="23" ref="B71:H71">B59+B63+B67</f>
        <v>0</v>
      </c>
      <c r="C71" s="34">
        <f t="shared" si="23"/>
        <v>0</v>
      </c>
      <c r="D71" s="34">
        <f t="shared" si="23"/>
        <v>0</v>
      </c>
      <c r="E71" s="34">
        <f t="shared" si="23"/>
        <v>0</v>
      </c>
      <c r="F71" s="34">
        <f t="shared" si="23"/>
        <v>0</v>
      </c>
      <c r="G71" s="34">
        <f t="shared" si="23"/>
        <v>0</v>
      </c>
      <c r="H71" s="34">
        <f t="shared" si="23"/>
        <v>0</v>
      </c>
      <c r="I71" s="13">
        <f t="shared" si="0"/>
        <v>0</v>
      </c>
      <c r="J71" s="18"/>
      <c r="K71" s="18"/>
      <c r="L71" s="7"/>
    </row>
    <row r="72" spans="1:12" ht="25.5">
      <c r="A72" s="48" t="s">
        <v>68</v>
      </c>
      <c r="B72" s="34">
        <f aca="true" t="shared" si="24" ref="B72:G72">B61+B65+B69</f>
        <v>0</v>
      </c>
      <c r="C72" s="34">
        <f t="shared" si="24"/>
        <v>0</v>
      </c>
      <c r="D72" s="34">
        <f t="shared" si="24"/>
        <v>0</v>
      </c>
      <c r="E72" s="34">
        <f t="shared" si="24"/>
        <v>0</v>
      </c>
      <c r="F72" s="34">
        <f t="shared" si="24"/>
        <v>0</v>
      </c>
      <c r="G72" s="34">
        <f t="shared" si="24"/>
        <v>0</v>
      </c>
      <c r="H72" s="34">
        <f>H61+H65+H69</f>
        <v>0</v>
      </c>
      <c r="I72" s="13">
        <f t="shared" si="0"/>
        <v>0</v>
      </c>
      <c r="J72" s="18"/>
      <c r="K72" s="18"/>
      <c r="L72" s="7"/>
    </row>
    <row r="73" spans="1:12" ht="25.5">
      <c r="A73" s="48" t="s">
        <v>69</v>
      </c>
      <c r="B73" s="34">
        <f aca="true" t="shared" si="25" ref="B73:G73">B60+B64+B68</f>
        <v>0</v>
      </c>
      <c r="C73" s="34">
        <f t="shared" si="25"/>
        <v>0</v>
      </c>
      <c r="D73" s="34">
        <f t="shared" si="25"/>
        <v>0</v>
      </c>
      <c r="E73" s="34">
        <f t="shared" si="25"/>
        <v>0</v>
      </c>
      <c r="F73" s="34">
        <f t="shared" si="25"/>
        <v>0</v>
      </c>
      <c r="G73" s="34">
        <f t="shared" si="25"/>
        <v>0</v>
      </c>
      <c r="H73" s="34">
        <f>H60+H64+H68</f>
        <v>0</v>
      </c>
      <c r="I73" s="13">
        <f t="shared" si="0"/>
        <v>0</v>
      </c>
      <c r="J73" s="18"/>
      <c r="K73" s="18"/>
      <c r="L73" s="7"/>
    </row>
    <row r="74" spans="1:12" ht="38.25">
      <c r="A74" s="48" t="s">
        <v>70</v>
      </c>
      <c r="B74" s="34">
        <f aca="true" t="shared" si="26" ref="B74:H74">SUM(B71:B73)</f>
        <v>0</v>
      </c>
      <c r="C74" s="34">
        <f t="shared" si="26"/>
        <v>0</v>
      </c>
      <c r="D74" s="34">
        <f t="shared" si="26"/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13">
        <f>SUM(B74:H74)</f>
        <v>0</v>
      </c>
      <c r="J74" s="18"/>
      <c r="K74" s="18"/>
      <c r="L74" s="7"/>
    </row>
    <row r="75" spans="1:12" ht="27.75" customHeight="1">
      <c r="A75" s="19" t="s">
        <v>71</v>
      </c>
      <c r="B75" s="34">
        <f>B22+B39+B55+B71</f>
        <v>211609.11000000002</v>
      </c>
      <c r="C75" s="34">
        <f>C22+C39+C55+C71</f>
        <v>247507.54</v>
      </c>
      <c r="D75" s="34">
        <f>D22+D39+D55+D71</f>
        <v>270707.79</v>
      </c>
      <c r="E75" s="34">
        <f>E22+E39+E55+E71</f>
        <v>281611.43</v>
      </c>
      <c r="F75" s="34">
        <f>F22+F39+F55+F71</f>
        <v>223016.27</v>
      </c>
      <c r="G75" s="34">
        <f>G22+G39+G55+G71</f>
        <v>183016.83000000002</v>
      </c>
      <c r="H75" s="34">
        <f>H22+H39+H55+H71</f>
        <v>266794.01</v>
      </c>
      <c r="I75" s="13">
        <f>SUM(B75:H75)</f>
        <v>1684262.98</v>
      </c>
      <c r="J75" s="4"/>
      <c r="K75" s="4"/>
      <c r="L75" s="7"/>
    </row>
    <row r="76" spans="1:12" ht="40.5" customHeight="1">
      <c r="A76" s="19" t="s">
        <v>72</v>
      </c>
      <c r="B76" s="74">
        <f>B23+B40+B56+B72</f>
        <v>94334.03</v>
      </c>
      <c r="C76" s="74">
        <f>C23+C40+C56+C72</f>
        <v>8588.75</v>
      </c>
      <c r="D76" s="74">
        <f>D23+D40+D56+D72</f>
        <v>16958.3</v>
      </c>
      <c r="E76" s="74">
        <f>E23+E40+E56+E72</f>
        <v>0</v>
      </c>
      <c r="F76" s="74">
        <f>F23+F40+F56+F72</f>
        <v>20344.33</v>
      </c>
      <c r="G76" s="74">
        <f>G23+G40+G56+G72</f>
        <v>132.22</v>
      </c>
      <c r="H76" s="74">
        <f>H23+H40+H56+H72</f>
        <v>0</v>
      </c>
      <c r="I76" s="13">
        <f>SUM(B76:H76)</f>
        <v>140357.63</v>
      </c>
      <c r="J76" s="4"/>
      <c r="K76" s="4"/>
      <c r="L76" s="7"/>
    </row>
    <row r="77" spans="1:12" ht="40.5" customHeight="1">
      <c r="A77" s="19" t="s">
        <v>92</v>
      </c>
      <c r="B77" s="74">
        <f>B24</f>
        <v>0</v>
      </c>
      <c r="C77" s="74">
        <f aca="true" t="shared" si="27" ref="C77:I77">C24</f>
        <v>1196.53</v>
      </c>
      <c r="D77" s="74">
        <f t="shared" si="27"/>
        <v>70.8</v>
      </c>
      <c r="E77" s="74">
        <f t="shared" si="27"/>
        <v>0</v>
      </c>
      <c r="F77" s="74">
        <f t="shared" si="27"/>
        <v>3789.07</v>
      </c>
      <c r="G77" s="74">
        <f t="shared" si="27"/>
        <v>0</v>
      </c>
      <c r="H77" s="74">
        <f t="shared" si="27"/>
        <v>0</v>
      </c>
      <c r="I77" s="74">
        <f t="shared" si="27"/>
        <v>5056.400000000001</v>
      </c>
      <c r="J77" s="4"/>
      <c r="K77" s="4"/>
      <c r="L77" s="7"/>
    </row>
    <row r="78" spans="1:12" ht="40.5" customHeight="1">
      <c r="A78" s="19" t="s">
        <v>73</v>
      </c>
      <c r="B78" s="74">
        <f aca="true" t="shared" si="28" ref="B78:H78">B57+B41+B25+B73</f>
        <v>1516.69</v>
      </c>
      <c r="C78" s="74">
        <f t="shared" si="28"/>
        <v>928.3399999999999</v>
      </c>
      <c r="D78" s="74">
        <f t="shared" si="28"/>
        <v>604.04</v>
      </c>
      <c r="E78" s="74">
        <f t="shared" si="28"/>
        <v>0</v>
      </c>
      <c r="F78" s="74">
        <f t="shared" si="28"/>
        <v>518.26</v>
      </c>
      <c r="G78" s="74">
        <f t="shared" si="28"/>
        <v>599.85</v>
      </c>
      <c r="H78" s="74">
        <f t="shared" si="28"/>
        <v>0</v>
      </c>
      <c r="I78" s="13">
        <f>SUM(B78:H78)</f>
        <v>4167.18</v>
      </c>
      <c r="J78" s="4"/>
      <c r="K78" s="4"/>
      <c r="L78" s="7"/>
    </row>
    <row r="79" spans="1:12" ht="51">
      <c r="A79" s="19" t="s">
        <v>74</v>
      </c>
      <c r="B79" s="34">
        <f>B75+B76+B78</f>
        <v>307459.83</v>
      </c>
      <c r="C79" s="34">
        <f aca="true" t="shared" si="29" ref="C79:H79">C75+C76+C78</f>
        <v>257024.63</v>
      </c>
      <c r="D79" s="34">
        <f t="shared" si="29"/>
        <v>288270.12999999995</v>
      </c>
      <c r="E79" s="34">
        <f t="shared" si="29"/>
        <v>281611.43</v>
      </c>
      <c r="F79" s="34">
        <f t="shared" si="29"/>
        <v>243878.86</v>
      </c>
      <c r="G79" s="34">
        <f t="shared" si="29"/>
        <v>183748.90000000002</v>
      </c>
      <c r="H79" s="34">
        <f t="shared" si="29"/>
        <v>266794.01</v>
      </c>
      <c r="I79" s="13">
        <f>SUM(B79:H79)</f>
        <v>1828787.7899999998</v>
      </c>
      <c r="J79" s="4"/>
      <c r="K79" s="4"/>
      <c r="L79" s="7"/>
    </row>
    <row r="80" spans="1:12" ht="12.75">
      <c r="A80" s="21"/>
      <c r="B80" s="4"/>
      <c r="C80" s="4"/>
      <c r="D80" s="4"/>
      <c r="E80" s="4"/>
      <c r="F80" s="4"/>
      <c r="G80" s="4"/>
      <c r="H80" s="4"/>
      <c r="I80" s="18"/>
      <c r="J80" s="4"/>
      <c r="K80" s="4"/>
      <c r="L80" s="4"/>
    </row>
    <row r="81" spans="1:12" ht="12.75">
      <c r="A81" s="21"/>
      <c r="B81" s="4"/>
      <c r="C81" s="4"/>
      <c r="D81" s="4"/>
      <c r="E81" s="4"/>
      <c r="F81" s="4"/>
      <c r="G81" s="4"/>
      <c r="H81" s="4"/>
      <c r="I81" s="18"/>
      <c r="J81" s="4"/>
      <c r="K81" s="4"/>
      <c r="L81" s="4"/>
    </row>
    <row r="82" spans="1:11" ht="12.75">
      <c r="A82" s="12"/>
      <c r="B82" s="16"/>
      <c r="I82" s="7"/>
      <c r="J82" s="7"/>
      <c r="K82" s="7"/>
    </row>
    <row r="83" spans="1:11" ht="12.75">
      <c r="A83" s="12"/>
      <c r="B83" s="16"/>
      <c r="I83" s="7"/>
      <c r="J83" s="7"/>
      <c r="K83" s="7"/>
    </row>
    <row r="84" spans="1:11" ht="12.75">
      <c r="A84" s="26" t="s">
        <v>76</v>
      </c>
      <c r="F84" s="7"/>
      <c r="I84" s="7"/>
      <c r="J84" s="7"/>
      <c r="K84" s="7"/>
    </row>
    <row r="85" spans="6:11" ht="12.75">
      <c r="F85" s="26"/>
      <c r="I85" s="7"/>
      <c r="J85" s="7"/>
      <c r="K85" s="7"/>
    </row>
    <row r="86" spans="6:11" ht="12.75">
      <c r="F86" s="7"/>
      <c r="I86" s="7"/>
      <c r="J86" s="7"/>
      <c r="K86" s="7"/>
    </row>
    <row r="87" spans="1:11" ht="66.75" customHeight="1">
      <c r="A87" s="112" t="s">
        <v>0</v>
      </c>
      <c r="B87" s="2" t="s">
        <v>14</v>
      </c>
      <c r="C87" s="79" t="s">
        <v>3</v>
      </c>
      <c r="D87" s="48" t="s">
        <v>1</v>
      </c>
      <c r="E87" s="17"/>
      <c r="F87" s="17"/>
      <c r="G87" s="62"/>
      <c r="H87" s="7"/>
      <c r="I87" s="7"/>
      <c r="J87" s="7"/>
      <c r="K87" s="7"/>
    </row>
    <row r="88" spans="1:11" ht="25.5">
      <c r="A88" s="113"/>
      <c r="B88" s="2" t="s">
        <v>2</v>
      </c>
      <c r="C88" s="2" t="s">
        <v>2</v>
      </c>
      <c r="D88" s="2" t="s">
        <v>2</v>
      </c>
      <c r="E88" s="25"/>
      <c r="F88" s="25"/>
      <c r="G88" s="25"/>
      <c r="H88" s="25"/>
      <c r="I88" s="7"/>
      <c r="J88" s="7"/>
      <c r="K88" s="7"/>
    </row>
    <row r="89" spans="1:11" ht="12.75">
      <c r="A89" s="14">
        <v>45292</v>
      </c>
      <c r="B89" s="108">
        <f>3456.06-503.25-30.81</f>
        <v>2922</v>
      </c>
      <c r="C89" s="31">
        <f>1426.44-207.71-1218.73</f>
        <v>0</v>
      </c>
      <c r="D89" s="94">
        <f>SUM(B89:C89)</f>
        <v>2922</v>
      </c>
      <c r="E89" s="63"/>
      <c r="F89" s="9"/>
      <c r="G89" s="25"/>
      <c r="H89" s="18"/>
      <c r="I89" s="8"/>
      <c r="J89" s="7"/>
      <c r="K89" s="7"/>
    </row>
    <row r="90" spans="1:11" ht="12.75">
      <c r="A90" s="14">
        <v>45323</v>
      </c>
      <c r="B90" s="108">
        <f>3099.31+30.81+1218.73-464.55</f>
        <v>3884.3</v>
      </c>
      <c r="C90" s="31">
        <f>1279.19-1279.19</f>
        <v>0</v>
      </c>
      <c r="D90" s="94">
        <f aca="true" t="shared" si="30" ref="D90:D103">SUM(B90:C90)</f>
        <v>3884.3</v>
      </c>
      <c r="E90" s="63"/>
      <c r="F90" s="9"/>
      <c r="G90" s="25"/>
      <c r="H90" s="18"/>
      <c r="I90" s="8"/>
      <c r="J90" s="7"/>
      <c r="K90" s="7"/>
    </row>
    <row r="91" spans="1:11" ht="12.75">
      <c r="A91" s="14">
        <v>45352</v>
      </c>
      <c r="B91" s="11">
        <f>3064.09+2.38</f>
        <v>3066.4700000000003</v>
      </c>
      <c r="C91" s="11">
        <f>1264.66+0.98</f>
        <v>1265.64</v>
      </c>
      <c r="D91" s="94">
        <f t="shared" si="30"/>
        <v>4332.110000000001</v>
      </c>
      <c r="E91" s="63"/>
      <c r="F91" s="9"/>
      <c r="G91" s="25"/>
      <c r="H91" s="18"/>
      <c r="I91" s="8"/>
      <c r="J91" s="7"/>
      <c r="K91" s="7"/>
    </row>
    <row r="92" spans="1:11" ht="12.75">
      <c r="A92" s="15" t="s">
        <v>28</v>
      </c>
      <c r="B92" s="96">
        <f>SUM(B89:B91)</f>
        <v>9872.77</v>
      </c>
      <c r="C92" s="96">
        <f>SUM(C89:C91)</f>
        <v>1265.64</v>
      </c>
      <c r="D92" s="97">
        <f t="shared" si="30"/>
        <v>11138.41</v>
      </c>
      <c r="E92" s="63"/>
      <c r="F92" s="9"/>
      <c r="G92" s="25"/>
      <c r="H92" s="18"/>
      <c r="I92" s="8"/>
      <c r="J92" s="7"/>
      <c r="K92" s="7"/>
    </row>
    <row r="93" spans="1:11" ht="12.75">
      <c r="A93" s="14">
        <v>45383</v>
      </c>
      <c r="B93" s="29">
        <v>2911.37</v>
      </c>
      <c r="C93" s="31">
        <v>1201.63</v>
      </c>
      <c r="D93" s="94">
        <f t="shared" si="30"/>
        <v>4113</v>
      </c>
      <c r="E93" s="63"/>
      <c r="F93" s="9"/>
      <c r="G93" s="25"/>
      <c r="H93" s="18"/>
      <c r="I93" s="8"/>
      <c r="J93" s="7"/>
      <c r="K93" s="7"/>
    </row>
    <row r="94" spans="1:11" ht="12.75">
      <c r="A94" s="14">
        <v>45413</v>
      </c>
      <c r="B94" s="98"/>
      <c r="C94" s="94"/>
      <c r="D94" s="94">
        <f t="shared" si="30"/>
        <v>0</v>
      </c>
      <c r="E94" s="63"/>
      <c r="F94" s="9"/>
      <c r="G94" s="25"/>
      <c r="H94" s="18"/>
      <c r="I94" s="8"/>
      <c r="J94" s="7"/>
      <c r="K94" s="7"/>
    </row>
    <row r="95" spans="1:11" ht="12.75">
      <c r="A95" s="14">
        <v>45444</v>
      </c>
      <c r="B95" s="94"/>
      <c r="C95" s="94"/>
      <c r="D95" s="94">
        <f t="shared" si="30"/>
        <v>0</v>
      </c>
      <c r="E95" s="63"/>
      <c r="F95" s="9"/>
      <c r="G95" s="25"/>
      <c r="H95" s="18"/>
      <c r="I95" s="8"/>
      <c r="J95" s="8"/>
      <c r="K95" s="8"/>
    </row>
    <row r="96" spans="1:11" ht="12.75">
      <c r="A96" s="15" t="s">
        <v>41</v>
      </c>
      <c r="B96" s="96">
        <f>SUM(B93:B95)</f>
        <v>2911.37</v>
      </c>
      <c r="C96" s="96">
        <f>SUM(C93:C95)</f>
        <v>1201.63</v>
      </c>
      <c r="D96" s="97">
        <f t="shared" si="30"/>
        <v>4113</v>
      </c>
      <c r="E96" s="63"/>
      <c r="F96" s="9"/>
      <c r="G96" s="25"/>
      <c r="H96" s="18"/>
      <c r="I96" s="8"/>
      <c r="J96" s="7"/>
      <c r="K96" s="7"/>
    </row>
    <row r="97" spans="1:11" ht="12.75">
      <c r="A97" s="14">
        <v>45474</v>
      </c>
      <c r="B97" s="100"/>
      <c r="C97" s="95"/>
      <c r="D97" s="94">
        <f t="shared" si="30"/>
        <v>0</v>
      </c>
      <c r="E97" s="63"/>
      <c r="F97" s="9"/>
      <c r="G97" s="25"/>
      <c r="H97" s="18"/>
      <c r="I97" s="8"/>
      <c r="J97" s="7"/>
      <c r="K97" s="7"/>
    </row>
    <row r="98" spans="1:11" ht="12.75">
      <c r="A98" s="14">
        <v>45505</v>
      </c>
      <c r="B98" s="94"/>
      <c r="C98" s="95"/>
      <c r="D98" s="94">
        <f t="shared" si="30"/>
        <v>0</v>
      </c>
      <c r="E98" s="63"/>
      <c r="F98" s="9"/>
      <c r="G98" s="25"/>
      <c r="H98" s="18"/>
      <c r="I98" s="8"/>
      <c r="J98" s="7"/>
      <c r="K98" s="7"/>
    </row>
    <row r="99" spans="1:11" ht="12.75">
      <c r="A99" s="14">
        <v>45536</v>
      </c>
      <c r="B99" s="94"/>
      <c r="C99" s="95"/>
      <c r="D99" s="94">
        <f t="shared" si="30"/>
        <v>0</v>
      </c>
      <c r="E99" s="63"/>
      <c r="F99" s="9"/>
      <c r="G99" s="25"/>
      <c r="H99" s="18"/>
      <c r="I99" s="8"/>
      <c r="J99" s="7"/>
      <c r="K99" s="7"/>
    </row>
    <row r="100" spans="1:11" ht="12.75">
      <c r="A100" s="15" t="s">
        <v>54</v>
      </c>
      <c r="B100" s="96">
        <f>B97+B98+B99</f>
        <v>0</v>
      </c>
      <c r="C100" s="96">
        <f>C97+C98+C99</f>
        <v>0</v>
      </c>
      <c r="D100" s="96">
        <f>D97+D98+D99</f>
        <v>0</v>
      </c>
      <c r="E100" s="63"/>
      <c r="F100" s="9"/>
      <c r="G100" s="25"/>
      <c r="H100" s="18"/>
      <c r="I100" s="8"/>
      <c r="J100" s="7"/>
      <c r="K100" s="7"/>
    </row>
    <row r="101" spans="1:11" ht="12.75">
      <c r="A101" s="14">
        <v>45566</v>
      </c>
      <c r="B101" s="94"/>
      <c r="C101" s="95"/>
      <c r="D101" s="94">
        <f t="shared" si="30"/>
        <v>0</v>
      </c>
      <c r="E101" s="30"/>
      <c r="F101" s="18"/>
      <c r="G101" s="9"/>
      <c r="H101" s="18"/>
      <c r="I101" s="8"/>
      <c r="J101" s="1"/>
      <c r="K101" s="1"/>
    </row>
    <row r="102" spans="1:12" ht="12.75">
      <c r="A102" s="38">
        <v>45597</v>
      </c>
      <c r="B102" s="94"/>
      <c r="C102" s="95"/>
      <c r="D102" s="94">
        <f t="shared" si="30"/>
        <v>0</v>
      </c>
      <c r="E102" s="30"/>
      <c r="F102" s="18"/>
      <c r="G102" s="9"/>
      <c r="H102" s="18"/>
      <c r="I102" s="8"/>
      <c r="J102" s="1"/>
      <c r="K102" s="1"/>
      <c r="L102" s="1"/>
    </row>
    <row r="103" spans="1:12" ht="12.75">
      <c r="A103" s="14">
        <v>45627</v>
      </c>
      <c r="B103" s="94"/>
      <c r="C103" s="95"/>
      <c r="D103" s="94">
        <f t="shared" si="30"/>
        <v>0</v>
      </c>
      <c r="E103" s="30"/>
      <c r="F103" s="18"/>
      <c r="G103" s="9"/>
      <c r="H103" s="18"/>
      <c r="I103" s="8"/>
      <c r="J103" s="1"/>
      <c r="K103" s="1"/>
      <c r="L103" s="1"/>
    </row>
    <row r="104" spans="1:12" ht="25.5">
      <c r="A104" s="5" t="s">
        <v>67</v>
      </c>
      <c r="B104" s="96">
        <f>SUM(B101:B103)</f>
        <v>0</v>
      </c>
      <c r="C104" s="96">
        <f>SUM(C101:C103)</f>
        <v>0</v>
      </c>
      <c r="D104" s="96">
        <f>SUM(D101:D103)</f>
        <v>0</v>
      </c>
      <c r="E104" s="39"/>
      <c r="F104" s="18"/>
      <c r="G104" s="9"/>
      <c r="H104" s="18"/>
      <c r="I104" s="8"/>
      <c r="J104" s="1"/>
      <c r="K104" s="1"/>
      <c r="L104" s="1"/>
    </row>
    <row r="105" spans="1:9" ht="25.5">
      <c r="A105" s="19" t="s">
        <v>75</v>
      </c>
      <c r="B105" s="96">
        <f>B92+B96+B100+B104</f>
        <v>12784.14</v>
      </c>
      <c r="C105" s="96">
        <f>C92+C96+C100+C104</f>
        <v>2467.2700000000004</v>
      </c>
      <c r="D105" s="96">
        <f>D92+D96+D100+D104</f>
        <v>15251.41</v>
      </c>
      <c r="E105" s="4"/>
      <c r="F105" s="18"/>
      <c r="G105" s="9"/>
      <c r="H105" s="18"/>
      <c r="I105" s="8"/>
    </row>
    <row r="106" spans="1:6" ht="12.75">
      <c r="A106" s="10"/>
      <c r="B106" s="4"/>
      <c r="C106" s="4"/>
      <c r="D106" s="8"/>
      <c r="E106" s="61"/>
      <c r="F106" s="4"/>
    </row>
    <row r="107" ht="12.75">
      <c r="A107" s="6"/>
    </row>
    <row r="108" ht="12.75">
      <c r="A108" s="26" t="s">
        <v>78</v>
      </c>
    </row>
    <row r="109" ht="12.75">
      <c r="A109" s="12"/>
    </row>
    <row r="111" spans="1:12" ht="93" customHeight="1">
      <c r="A111" s="114" t="s">
        <v>0</v>
      </c>
      <c r="B111" s="2" t="s">
        <v>10</v>
      </c>
      <c r="C111" s="2" t="s">
        <v>11</v>
      </c>
      <c r="D111" s="2" t="s">
        <v>81</v>
      </c>
      <c r="E111" s="79" t="s">
        <v>3</v>
      </c>
      <c r="F111" s="79" t="s">
        <v>12</v>
      </c>
      <c r="G111" s="2" t="s">
        <v>82</v>
      </c>
      <c r="H111" s="102"/>
      <c r="I111" s="5" t="s">
        <v>83</v>
      </c>
      <c r="J111" s="80"/>
      <c r="K111" s="79" t="s">
        <v>4</v>
      </c>
      <c r="L111" s="48" t="s">
        <v>1</v>
      </c>
    </row>
    <row r="112" spans="1:12" ht="25.5">
      <c r="A112" s="115"/>
      <c r="B112" s="2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</row>
    <row r="113" spans="1:12" ht="12.75">
      <c r="A113" s="14">
        <v>45292</v>
      </c>
      <c r="B113" s="11">
        <f>430.64-62.71-71.37</f>
        <v>296.56</v>
      </c>
      <c r="C113" s="11">
        <f>5536.86-806.25+486-40.29</f>
        <v>5176.32</v>
      </c>
      <c r="D113" s="11">
        <f>11473.93-1678.91-595.02</f>
        <v>9200</v>
      </c>
      <c r="E113" s="11">
        <f>46593.8-6817.8-17261.45</f>
        <v>22514.55</v>
      </c>
      <c r="F113" s="11">
        <f>13285.6-1944+1944-10.45</f>
        <v>13275.15</v>
      </c>
      <c r="G113" s="11">
        <f>207441.38-29976.53-8608.96</f>
        <v>168855.89</v>
      </c>
      <c r="H113" s="32"/>
      <c r="I113" s="32">
        <f>120847.44-17661.94+16150.59-636</f>
        <v>118700.09</v>
      </c>
      <c r="J113" s="35"/>
      <c r="K113" s="32">
        <f>191140.35-27947.48+23083.41-774</f>
        <v>185502.28</v>
      </c>
      <c r="L113" s="2">
        <f>B113+C113+D113+E113+F113+G113+H113+I113+J113+K113</f>
        <v>523520.8400000001</v>
      </c>
    </row>
    <row r="114" spans="1:13" ht="25.5">
      <c r="A114" s="43" t="s">
        <v>19</v>
      </c>
      <c r="B114" s="73">
        <v>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/>
      <c r="I114" s="105">
        <v>45933.7</v>
      </c>
      <c r="J114" s="72"/>
      <c r="K114" s="105">
        <v>192861.76</v>
      </c>
      <c r="L114" s="2">
        <f aca="true" t="shared" si="31" ref="L114:L174">B114+C114+D114+E114+F114+G114+H114+I114+J114+K114</f>
        <v>238795.46000000002</v>
      </c>
      <c r="M114" s="1"/>
    </row>
    <row r="115" spans="1:12" ht="25.5">
      <c r="A115" s="47" t="s">
        <v>20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/>
      <c r="I115" s="73">
        <v>0</v>
      </c>
      <c r="J115" s="72"/>
      <c r="K115" s="73">
        <v>0</v>
      </c>
      <c r="L115" s="2">
        <f t="shared" si="31"/>
        <v>0</v>
      </c>
    </row>
    <row r="116" spans="1:12" ht="25.5">
      <c r="A116" s="89" t="s">
        <v>21</v>
      </c>
      <c r="B116" s="87">
        <f>SUM(B113:B115)</f>
        <v>296.56</v>
      </c>
      <c r="C116" s="87">
        <f aca="true" t="shared" si="32" ref="C116:K116">SUM(C113:C115)</f>
        <v>5176.32</v>
      </c>
      <c r="D116" s="87">
        <f t="shared" si="32"/>
        <v>9200</v>
      </c>
      <c r="E116" s="87">
        <f t="shared" si="32"/>
        <v>22514.55</v>
      </c>
      <c r="F116" s="87">
        <f t="shared" si="32"/>
        <v>13275.15</v>
      </c>
      <c r="G116" s="87">
        <f t="shared" si="32"/>
        <v>168855.89</v>
      </c>
      <c r="H116" s="87">
        <f t="shared" si="32"/>
        <v>0</v>
      </c>
      <c r="I116" s="87">
        <f t="shared" si="32"/>
        <v>164633.78999999998</v>
      </c>
      <c r="J116" s="87">
        <f t="shared" si="32"/>
        <v>0</v>
      </c>
      <c r="K116" s="87">
        <f t="shared" si="32"/>
        <v>378364.04000000004</v>
      </c>
      <c r="L116" s="2">
        <f t="shared" si="31"/>
        <v>762316.3</v>
      </c>
    </row>
    <row r="117" spans="1:12" ht="12.75">
      <c r="A117" s="14">
        <v>45323</v>
      </c>
      <c r="B117" s="11">
        <f>386.19-35.71</f>
        <v>350.48</v>
      </c>
      <c r="C117" s="11">
        <f>4965.31-486+40.29+71.37-1.03</f>
        <v>4589.9400000000005</v>
      </c>
      <c r="D117" s="11">
        <f>10339.64-439.64</f>
        <v>9900</v>
      </c>
      <c r="E117" s="11">
        <f>41987.66-15837.58</f>
        <v>26150.08</v>
      </c>
      <c r="F117" s="11">
        <f>11972.22-1944+10.45+326.9-35.97</f>
        <v>10329.6</v>
      </c>
      <c r="G117" s="11">
        <f>184611.62+8608.96+4158.12-128.19</f>
        <v>197250.50999999998</v>
      </c>
      <c r="H117" s="32"/>
      <c r="I117" s="32">
        <f>108771.72-16150.59+636+4054.15-225.3</f>
        <v>97085.98</v>
      </c>
      <c r="J117" s="35"/>
      <c r="K117" s="32">
        <f>172115.64-23083.41+774+9317.3-563.65</f>
        <v>158559.88</v>
      </c>
      <c r="L117" s="2">
        <f t="shared" si="31"/>
        <v>504216.47</v>
      </c>
    </row>
    <row r="118" spans="1:12" ht="25.5">
      <c r="A118" s="43" t="s">
        <v>22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73"/>
      <c r="I118" s="52">
        <v>49392</v>
      </c>
      <c r="J118" s="72"/>
      <c r="K118" s="52">
        <v>289040.64</v>
      </c>
      <c r="L118" s="2">
        <f t="shared" si="31"/>
        <v>338432.64</v>
      </c>
    </row>
    <row r="119" spans="1:12" ht="25.5">
      <c r="A119" s="47" t="s">
        <v>23</v>
      </c>
      <c r="B119" s="99">
        <v>0</v>
      </c>
      <c r="C119" s="99">
        <v>0</v>
      </c>
      <c r="D119" s="99">
        <v>0</v>
      </c>
      <c r="E119" s="99">
        <v>0</v>
      </c>
      <c r="F119" s="99">
        <v>0</v>
      </c>
      <c r="G119" s="99">
        <v>0</v>
      </c>
      <c r="H119" s="90"/>
      <c r="I119" s="99">
        <v>0</v>
      </c>
      <c r="J119" s="91"/>
      <c r="K119" s="99">
        <v>0</v>
      </c>
      <c r="L119" s="2">
        <f t="shared" si="31"/>
        <v>0</v>
      </c>
    </row>
    <row r="120" spans="1:12" ht="25.5">
      <c r="A120" s="89" t="s">
        <v>24</v>
      </c>
      <c r="B120" s="87">
        <f aca="true" t="shared" si="33" ref="B120:K120">SUM(B117:B119)</f>
        <v>350.48</v>
      </c>
      <c r="C120" s="87">
        <f t="shared" si="33"/>
        <v>4589.9400000000005</v>
      </c>
      <c r="D120" s="87">
        <f t="shared" si="33"/>
        <v>9900</v>
      </c>
      <c r="E120" s="87">
        <f t="shared" si="33"/>
        <v>26150.08</v>
      </c>
      <c r="F120" s="87">
        <f t="shared" si="33"/>
        <v>10329.6</v>
      </c>
      <c r="G120" s="87">
        <f t="shared" si="33"/>
        <v>197250.50999999998</v>
      </c>
      <c r="H120" s="87">
        <f t="shared" si="33"/>
        <v>0</v>
      </c>
      <c r="I120" s="87">
        <f t="shared" si="33"/>
        <v>146477.97999999998</v>
      </c>
      <c r="J120" s="87">
        <f t="shared" si="33"/>
        <v>0</v>
      </c>
      <c r="K120" s="87">
        <f t="shared" si="33"/>
        <v>447600.52</v>
      </c>
      <c r="L120" s="2">
        <f t="shared" si="31"/>
        <v>842649.11</v>
      </c>
    </row>
    <row r="121" spans="1:12" ht="12.75">
      <c r="A121" s="14">
        <v>45352</v>
      </c>
      <c r="B121" s="11">
        <f>344.07+35.71+0.27</f>
        <v>380.04999999999995</v>
      </c>
      <c r="C121" s="11">
        <f>4946.62+1.03+3.83</f>
        <v>4951.48</v>
      </c>
      <c r="D121" s="11">
        <f>10222.16+439.64+195.68+7.86</f>
        <v>10865.34</v>
      </c>
      <c r="E121" s="11">
        <f>41510.58+31.91</f>
        <v>41542.490000000005</v>
      </c>
      <c r="F121" s="11">
        <f>11836.19+35.97+241.83+9.1</f>
        <v>12123.09</v>
      </c>
      <c r="G121" s="11">
        <f>182514+128.19+3750.75+140.31</f>
        <v>186533.25</v>
      </c>
      <c r="H121" s="32"/>
      <c r="I121" s="32">
        <f>107535.82+225.3+3187.33+86.16</f>
        <v>111034.61000000002</v>
      </c>
      <c r="J121" s="35"/>
      <c r="K121" s="32">
        <f>170160.01+563.65+8461.99+130.99</f>
        <v>179316.63999999998</v>
      </c>
      <c r="L121" s="2">
        <f t="shared" si="31"/>
        <v>546746.9500000001</v>
      </c>
    </row>
    <row r="122" spans="1:12" ht="25.5">
      <c r="A122" s="43" t="s">
        <v>25</v>
      </c>
      <c r="B122" s="73"/>
      <c r="C122" s="73"/>
      <c r="D122" s="73"/>
      <c r="E122" s="73"/>
      <c r="F122" s="73"/>
      <c r="G122" s="73"/>
      <c r="H122" s="73"/>
      <c r="I122" s="73"/>
      <c r="J122" s="72"/>
      <c r="K122" s="72"/>
      <c r="L122" s="2">
        <f t="shared" si="31"/>
        <v>0</v>
      </c>
    </row>
    <row r="123" spans="1:12" ht="25.5">
      <c r="A123" s="47" t="s">
        <v>26</v>
      </c>
      <c r="B123" s="73"/>
      <c r="C123" s="73"/>
      <c r="D123" s="73"/>
      <c r="E123" s="73"/>
      <c r="F123" s="73"/>
      <c r="G123" s="73"/>
      <c r="H123" s="73"/>
      <c r="I123" s="73"/>
      <c r="J123" s="72"/>
      <c r="K123" s="72"/>
      <c r="L123" s="2">
        <f t="shared" si="31"/>
        <v>0</v>
      </c>
    </row>
    <row r="124" spans="1:12" ht="25.5">
      <c r="A124" s="89" t="s">
        <v>27</v>
      </c>
      <c r="B124" s="87">
        <f aca="true" t="shared" si="34" ref="B124:K124">B121+B122+B123</f>
        <v>380.04999999999995</v>
      </c>
      <c r="C124" s="87">
        <f t="shared" si="34"/>
        <v>4951.48</v>
      </c>
      <c r="D124" s="87">
        <f t="shared" si="34"/>
        <v>10865.34</v>
      </c>
      <c r="E124" s="87">
        <f t="shared" si="34"/>
        <v>41542.490000000005</v>
      </c>
      <c r="F124" s="87">
        <f t="shared" si="34"/>
        <v>12123.09</v>
      </c>
      <c r="G124" s="87">
        <f t="shared" si="34"/>
        <v>186533.25</v>
      </c>
      <c r="H124" s="87">
        <f t="shared" si="34"/>
        <v>0</v>
      </c>
      <c r="I124" s="87">
        <f t="shared" si="34"/>
        <v>111034.61000000002</v>
      </c>
      <c r="J124" s="87">
        <f t="shared" si="34"/>
        <v>0</v>
      </c>
      <c r="K124" s="87">
        <f t="shared" si="34"/>
        <v>179316.63999999998</v>
      </c>
      <c r="L124" s="2">
        <f t="shared" si="31"/>
        <v>546746.9500000001</v>
      </c>
    </row>
    <row r="125" spans="1:12" ht="12.75">
      <c r="A125" s="28" t="s">
        <v>28</v>
      </c>
      <c r="B125" s="20">
        <f>B113+B117+B121</f>
        <v>1027.09</v>
      </c>
      <c r="C125" s="20">
        <f aca="true" t="shared" si="35" ref="C125:K127">C113+C117+C121</f>
        <v>14717.74</v>
      </c>
      <c r="D125" s="20">
        <f t="shared" si="35"/>
        <v>29965.34</v>
      </c>
      <c r="E125" s="20">
        <f t="shared" si="35"/>
        <v>90207.12000000001</v>
      </c>
      <c r="F125" s="20">
        <f t="shared" si="35"/>
        <v>35727.84</v>
      </c>
      <c r="G125" s="20">
        <f t="shared" si="35"/>
        <v>552639.65</v>
      </c>
      <c r="H125" s="20">
        <f t="shared" si="35"/>
        <v>0</v>
      </c>
      <c r="I125" s="20">
        <f t="shared" si="35"/>
        <v>326820.68000000005</v>
      </c>
      <c r="J125" s="20">
        <f t="shared" si="35"/>
        <v>0</v>
      </c>
      <c r="K125" s="20">
        <f t="shared" si="35"/>
        <v>523378.80000000005</v>
      </c>
      <c r="L125" s="2">
        <f t="shared" si="31"/>
        <v>1574484.26</v>
      </c>
    </row>
    <row r="126" spans="1:12" ht="25.5">
      <c r="A126" s="48" t="s">
        <v>29</v>
      </c>
      <c r="B126" s="20">
        <f>B114+B118+B122</f>
        <v>0</v>
      </c>
      <c r="C126" s="20">
        <f t="shared" si="35"/>
        <v>0</v>
      </c>
      <c r="D126" s="20">
        <f t="shared" si="35"/>
        <v>0</v>
      </c>
      <c r="E126" s="20">
        <f t="shared" si="35"/>
        <v>0</v>
      </c>
      <c r="F126" s="20">
        <f t="shared" si="35"/>
        <v>0</v>
      </c>
      <c r="G126" s="20">
        <f t="shared" si="35"/>
        <v>0</v>
      </c>
      <c r="H126" s="20">
        <f t="shared" si="35"/>
        <v>0</v>
      </c>
      <c r="I126" s="20">
        <f t="shared" si="35"/>
        <v>95325.7</v>
      </c>
      <c r="J126" s="20">
        <f t="shared" si="35"/>
        <v>0</v>
      </c>
      <c r="K126" s="20">
        <f t="shared" si="35"/>
        <v>481902.4</v>
      </c>
      <c r="L126" s="2">
        <f t="shared" si="31"/>
        <v>577228.1</v>
      </c>
    </row>
    <row r="127" spans="1:12" ht="25.5">
      <c r="A127" s="48" t="s">
        <v>30</v>
      </c>
      <c r="B127" s="20">
        <f>B115+B119+B123</f>
        <v>0</v>
      </c>
      <c r="C127" s="20">
        <f t="shared" si="35"/>
        <v>0</v>
      </c>
      <c r="D127" s="20">
        <f t="shared" si="35"/>
        <v>0</v>
      </c>
      <c r="E127" s="20">
        <f t="shared" si="35"/>
        <v>0</v>
      </c>
      <c r="F127" s="20">
        <f t="shared" si="35"/>
        <v>0</v>
      </c>
      <c r="G127" s="20">
        <f t="shared" si="35"/>
        <v>0</v>
      </c>
      <c r="H127" s="20">
        <f t="shared" si="35"/>
        <v>0</v>
      </c>
      <c r="I127" s="20">
        <f t="shared" si="35"/>
        <v>0</v>
      </c>
      <c r="J127" s="20">
        <f t="shared" si="35"/>
        <v>0</v>
      </c>
      <c r="K127" s="20">
        <f t="shared" si="35"/>
        <v>0</v>
      </c>
      <c r="L127" s="2">
        <f t="shared" si="31"/>
        <v>0</v>
      </c>
    </row>
    <row r="128" spans="1:12" ht="38.25">
      <c r="A128" s="48" t="s">
        <v>31</v>
      </c>
      <c r="B128" s="20">
        <f>B125+B126+B127</f>
        <v>1027.09</v>
      </c>
      <c r="C128" s="20">
        <f aca="true" t="shared" si="36" ref="C128:K128">C125+C126+C127</f>
        <v>14717.74</v>
      </c>
      <c r="D128" s="20">
        <f t="shared" si="36"/>
        <v>29965.34</v>
      </c>
      <c r="E128" s="20">
        <f t="shared" si="36"/>
        <v>90207.12000000001</v>
      </c>
      <c r="F128" s="20">
        <f t="shared" si="36"/>
        <v>35727.84</v>
      </c>
      <c r="G128" s="20">
        <f t="shared" si="36"/>
        <v>552639.65</v>
      </c>
      <c r="H128" s="20">
        <f t="shared" si="36"/>
        <v>0</v>
      </c>
      <c r="I128" s="20">
        <f t="shared" si="36"/>
        <v>422146.38000000006</v>
      </c>
      <c r="J128" s="20">
        <f t="shared" si="36"/>
        <v>0</v>
      </c>
      <c r="K128" s="20">
        <f t="shared" si="36"/>
        <v>1005281.2000000001</v>
      </c>
      <c r="L128" s="2">
        <f t="shared" si="31"/>
        <v>2151712.3600000003</v>
      </c>
    </row>
    <row r="129" spans="1:12" ht="12.75">
      <c r="A129" s="14">
        <v>45383</v>
      </c>
      <c r="B129" s="33">
        <v>326.92</v>
      </c>
      <c r="C129" s="29">
        <v>4700.08</v>
      </c>
      <c r="D129" s="29">
        <f>9723.78+46.08</f>
        <v>9769.86</v>
      </c>
      <c r="E129" s="29">
        <f>39486.71+187.11</f>
        <v>39673.82</v>
      </c>
      <c r="F129" s="29">
        <f>9723.78+46.08</f>
        <v>9769.86</v>
      </c>
      <c r="G129" s="11">
        <f>187133.86-1460.36</f>
        <v>185673.5</v>
      </c>
      <c r="H129" s="32"/>
      <c r="I129" s="32">
        <f>98064.09+459.1</f>
        <v>98523.19</v>
      </c>
      <c r="J129" s="35"/>
      <c r="K129" s="32">
        <f>153540.78+721.99</f>
        <v>154262.77</v>
      </c>
      <c r="L129" s="2">
        <f t="shared" si="31"/>
        <v>502700</v>
      </c>
    </row>
    <row r="130" spans="1:12" ht="25.5">
      <c r="A130" s="43" t="s">
        <v>32</v>
      </c>
      <c r="B130" s="92"/>
      <c r="C130" s="52"/>
      <c r="D130" s="52"/>
      <c r="E130" s="52"/>
      <c r="F130" s="52"/>
      <c r="G130" s="52"/>
      <c r="H130" s="52"/>
      <c r="I130" s="52"/>
      <c r="J130" s="51"/>
      <c r="K130" s="51"/>
      <c r="L130" s="2">
        <f t="shared" si="31"/>
        <v>0</v>
      </c>
    </row>
    <row r="131" spans="1:12" ht="25.5">
      <c r="A131" s="47" t="s">
        <v>33</v>
      </c>
      <c r="B131" s="92"/>
      <c r="C131" s="52"/>
      <c r="D131" s="52"/>
      <c r="E131" s="52"/>
      <c r="F131" s="52"/>
      <c r="G131" s="52"/>
      <c r="H131" s="52"/>
      <c r="I131" s="52"/>
      <c r="J131" s="51"/>
      <c r="K131" s="51"/>
      <c r="L131" s="2">
        <f t="shared" si="31"/>
        <v>0</v>
      </c>
    </row>
    <row r="132" spans="1:12" ht="25.5">
      <c r="A132" s="89" t="s">
        <v>34</v>
      </c>
      <c r="B132" s="33">
        <f>B129+B130+B131</f>
        <v>326.92</v>
      </c>
      <c r="C132" s="33">
        <f aca="true" t="shared" si="37" ref="C132:K132">C129+C130+C131</f>
        <v>4700.08</v>
      </c>
      <c r="D132" s="33">
        <f t="shared" si="37"/>
        <v>9769.86</v>
      </c>
      <c r="E132" s="33">
        <f t="shared" si="37"/>
        <v>39673.82</v>
      </c>
      <c r="F132" s="33">
        <f t="shared" si="37"/>
        <v>9769.86</v>
      </c>
      <c r="G132" s="33">
        <f t="shared" si="37"/>
        <v>185673.5</v>
      </c>
      <c r="H132" s="33">
        <f t="shared" si="37"/>
        <v>0</v>
      </c>
      <c r="I132" s="33">
        <f t="shared" si="37"/>
        <v>98523.19</v>
      </c>
      <c r="J132" s="33">
        <f t="shared" si="37"/>
        <v>0</v>
      </c>
      <c r="K132" s="33">
        <f t="shared" si="37"/>
        <v>154262.77</v>
      </c>
      <c r="L132" s="2">
        <f t="shared" si="31"/>
        <v>502700</v>
      </c>
    </row>
    <row r="133" spans="1:12" ht="12.75">
      <c r="A133" s="14">
        <v>45413</v>
      </c>
      <c r="B133" s="29"/>
      <c r="C133" s="88"/>
      <c r="D133" s="88"/>
      <c r="E133" s="11"/>
      <c r="F133" s="29"/>
      <c r="G133" s="11"/>
      <c r="H133" s="32"/>
      <c r="I133" s="32"/>
      <c r="J133" s="35"/>
      <c r="K133" s="35"/>
      <c r="L133" s="2">
        <f t="shared" si="31"/>
        <v>0</v>
      </c>
    </row>
    <row r="134" spans="1:12" ht="25.5">
      <c r="A134" s="43" t="s">
        <v>35</v>
      </c>
      <c r="B134" s="52"/>
      <c r="C134" s="99"/>
      <c r="D134" s="99"/>
      <c r="E134" s="99"/>
      <c r="F134" s="99"/>
      <c r="G134" s="99"/>
      <c r="H134" s="99"/>
      <c r="I134" s="99"/>
      <c r="J134" s="99"/>
      <c r="K134" s="99"/>
      <c r="L134" s="2">
        <f t="shared" si="31"/>
        <v>0</v>
      </c>
    </row>
    <row r="135" spans="1:12" ht="25.5">
      <c r="A135" s="47" t="s">
        <v>36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2">
        <f t="shared" si="31"/>
        <v>0</v>
      </c>
    </row>
    <row r="136" spans="1:12" ht="12.75">
      <c r="A136" s="89" t="s">
        <v>37</v>
      </c>
      <c r="B136" s="29">
        <f>SUM(B133:B135)</f>
        <v>0</v>
      </c>
      <c r="C136" s="29">
        <f aca="true" t="shared" si="38" ref="C136:K136">SUM(C133:C135)</f>
        <v>0</v>
      </c>
      <c r="D136" s="29">
        <f t="shared" si="38"/>
        <v>0</v>
      </c>
      <c r="E136" s="29">
        <f t="shared" si="38"/>
        <v>0</v>
      </c>
      <c r="F136" s="29">
        <f t="shared" si="38"/>
        <v>0</v>
      </c>
      <c r="G136" s="29">
        <f t="shared" si="38"/>
        <v>0</v>
      </c>
      <c r="H136" s="29">
        <f t="shared" si="38"/>
        <v>0</v>
      </c>
      <c r="I136" s="29">
        <f t="shared" si="38"/>
        <v>0</v>
      </c>
      <c r="J136" s="29">
        <f t="shared" si="38"/>
        <v>0</v>
      </c>
      <c r="K136" s="29">
        <f t="shared" si="38"/>
        <v>0</v>
      </c>
      <c r="L136" s="2">
        <f t="shared" si="31"/>
        <v>0</v>
      </c>
    </row>
    <row r="137" spans="1:12" ht="12.75">
      <c r="A137" s="14">
        <v>45444</v>
      </c>
      <c r="B137" s="29"/>
      <c r="C137" s="88"/>
      <c r="D137" s="29"/>
      <c r="E137" s="11"/>
      <c r="F137" s="11"/>
      <c r="G137" s="11"/>
      <c r="H137" s="32"/>
      <c r="I137" s="32"/>
      <c r="J137" s="35"/>
      <c r="K137" s="35"/>
      <c r="L137" s="2">
        <f t="shared" si="31"/>
        <v>0</v>
      </c>
    </row>
    <row r="138" spans="1:12" ht="25.5">
      <c r="A138" s="43" t="s">
        <v>38</v>
      </c>
      <c r="B138" s="73"/>
      <c r="C138" s="99"/>
      <c r="D138" s="99"/>
      <c r="E138" s="99"/>
      <c r="F138" s="99"/>
      <c r="G138" s="99"/>
      <c r="H138" s="99"/>
      <c r="I138" s="99"/>
      <c r="J138" s="99"/>
      <c r="K138" s="99"/>
      <c r="L138" s="2">
        <f t="shared" si="31"/>
        <v>0</v>
      </c>
    </row>
    <row r="139" spans="1:12" ht="25.5">
      <c r="A139" s="47" t="s">
        <v>39</v>
      </c>
      <c r="B139" s="73"/>
      <c r="C139" s="52"/>
      <c r="D139" s="52"/>
      <c r="E139" s="52"/>
      <c r="F139" s="52"/>
      <c r="G139" s="52"/>
      <c r="H139" s="52"/>
      <c r="I139" s="52"/>
      <c r="J139" s="52"/>
      <c r="K139" s="52"/>
      <c r="L139" s="2">
        <f t="shared" si="31"/>
        <v>0</v>
      </c>
    </row>
    <row r="140" spans="1:12" ht="25.5">
      <c r="A140" s="59" t="s">
        <v>40</v>
      </c>
      <c r="B140" s="29">
        <f>B137+B138+B139</f>
        <v>0</v>
      </c>
      <c r="C140" s="29">
        <f aca="true" t="shared" si="39" ref="C140:K140">C137+C138+C139</f>
        <v>0</v>
      </c>
      <c r="D140" s="29">
        <f t="shared" si="39"/>
        <v>0</v>
      </c>
      <c r="E140" s="29">
        <f t="shared" si="39"/>
        <v>0</v>
      </c>
      <c r="F140" s="29">
        <f t="shared" si="39"/>
        <v>0</v>
      </c>
      <c r="G140" s="29">
        <f t="shared" si="39"/>
        <v>0</v>
      </c>
      <c r="H140" s="29">
        <f t="shared" si="39"/>
        <v>0</v>
      </c>
      <c r="I140" s="29">
        <f t="shared" si="39"/>
        <v>0</v>
      </c>
      <c r="J140" s="29">
        <f t="shared" si="39"/>
        <v>0</v>
      </c>
      <c r="K140" s="29">
        <f t="shared" si="39"/>
        <v>0</v>
      </c>
      <c r="L140" s="2">
        <f t="shared" si="31"/>
        <v>0</v>
      </c>
    </row>
    <row r="141" spans="1:12" ht="12.75">
      <c r="A141" s="15" t="s">
        <v>41</v>
      </c>
      <c r="B141" s="20">
        <f>B129+B133+B137</f>
        <v>326.92</v>
      </c>
      <c r="C141" s="20">
        <f aca="true" t="shared" si="40" ref="C141:K143">C129+C133+C137</f>
        <v>4700.08</v>
      </c>
      <c r="D141" s="20">
        <f t="shared" si="40"/>
        <v>9769.86</v>
      </c>
      <c r="E141" s="20">
        <f t="shared" si="40"/>
        <v>39673.82</v>
      </c>
      <c r="F141" s="20">
        <f t="shared" si="40"/>
        <v>9769.86</v>
      </c>
      <c r="G141" s="20">
        <f t="shared" si="40"/>
        <v>185673.5</v>
      </c>
      <c r="H141" s="20">
        <f t="shared" si="40"/>
        <v>0</v>
      </c>
      <c r="I141" s="20">
        <f t="shared" si="40"/>
        <v>98523.19</v>
      </c>
      <c r="J141" s="20">
        <f t="shared" si="40"/>
        <v>0</v>
      </c>
      <c r="K141" s="20">
        <f t="shared" si="40"/>
        <v>154262.77</v>
      </c>
      <c r="L141" s="2">
        <f t="shared" si="31"/>
        <v>502700</v>
      </c>
    </row>
    <row r="142" spans="1:12" ht="25.5">
      <c r="A142" s="48" t="s">
        <v>42</v>
      </c>
      <c r="B142" s="20">
        <f>B130+B134+B138</f>
        <v>0</v>
      </c>
      <c r="C142" s="20">
        <f t="shared" si="40"/>
        <v>0</v>
      </c>
      <c r="D142" s="20">
        <f t="shared" si="40"/>
        <v>0</v>
      </c>
      <c r="E142" s="20">
        <f t="shared" si="40"/>
        <v>0</v>
      </c>
      <c r="F142" s="20">
        <f t="shared" si="40"/>
        <v>0</v>
      </c>
      <c r="G142" s="20">
        <f t="shared" si="40"/>
        <v>0</v>
      </c>
      <c r="H142" s="20">
        <f t="shared" si="40"/>
        <v>0</v>
      </c>
      <c r="I142" s="20">
        <f t="shared" si="40"/>
        <v>0</v>
      </c>
      <c r="J142" s="20">
        <f t="shared" si="40"/>
        <v>0</v>
      </c>
      <c r="K142" s="20">
        <f t="shared" si="40"/>
        <v>0</v>
      </c>
      <c r="L142" s="2">
        <f t="shared" si="31"/>
        <v>0</v>
      </c>
    </row>
    <row r="143" spans="1:12" ht="25.5">
      <c r="A143" s="48" t="s">
        <v>43</v>
      </c>
      <c r="B143" s="20">
        <f>B131+B135+B139</f>
        <v>0</v>
      </c>
      <c r="C143" s="20">
        <f t="shared" si="40"/>
        <v>0</v>
      </c>
      <c r="D143" s="20">
        <f t="shared" si="40"/>
        <v>0</v>
      </c>
      <c r="E143" s="20">
        <f t="shared" si="40"/>
        <v>0</v>
      </c>
      <c r="F143" s="20">
        <f t="shared" si="40"/>
        <v>0</v>
      </c>
      <c r="G143" s="20">
        <f t="shared" si="40"/>
        <v>0</v>
      </c>
      <c r="H143" s="20">
        <f t="shared" si="40"/>
        <v>0</v>
      </c>
      <c r="I143" s="20">
        <f t="shared" si="40"/>
        <v>0</v>
      </c>
      <c r="J143" s="20">
        <f t="shared" si="40"/>
        <v>0</v>
      </c>
      <c r="K143" s="20">
        <f t="shared" si="40"/>
        <v>0</v>
      </c>
      <c r="L143" s="2">
        <f t="shared" si="31"/>
        <v>0</v>
      </c>
    </row>
    <row r="144" spans="1:12" ht="38.25">
      <c r="A144" s="48" t="s">
        <v>44</v>
      </c>
      <c r="B144" s="20">
        <f aca="true" t="shared" si="41" ref="B144:K144">B141+B142+B143</f>
        <v>326.92</v>
      </c>
      <c r="C144" s="20">
        <f t="shared" si="41"/>
        <v>4700.08</v>
      </c>
      <c r="D144" s="20">
        <f t="shared" si="41"/>
        <v>9769.86</v>
      </c>
      <c r="E144" s="20">
        <f t="shared" si="41"/>
        <v>39673.82</v>
      </c>
      <c r="F144" s="20">
        <f t="shared" si="41"/>
        <v>9769.86</v>
      </c>
      <c r="G144" s="20">
        <f t="shared" si="41"/>
        <v>185673.5</v>
      </c>
      <c r="H144" s="20">
        <f t="shared" si="41"/>
        <v>0</v>
      </c>
      <c r="I144" s="20">
        <f t="shared" si="41"/>
        <v>98523.19</v>
      </c>
      <c r="J144" s="20">
        <f t="shared" si="41"/>
        <v>0</v>
      </c>
      <c r="K144" s="20">
        <f t="shared" si="41"/>
        <v>154262.77</v>
      </c>
      <c r="L144" s="2">
        <f t="shared" si="31"/>
        <v>502700</v>
      </c>
    </row>
    <row r="145" spans="1:12" ht="12.75">
      <c r="A145" s="14">
        <v>45474</v>
      </c>
      <c r="B145" s="29"/>
      <c r="C145" s="29"/>
      <c r="D145" s="29"/>
      <c r="E145" s="29"/>
      <c r="F145" s="29"/>
      <c r="G145" s="11"/>
      <c r="H145" s="32"/>
      <c r="I145" s="32"/>
      <c r="J145" s="35"/>
      <c r="K145" s="35"/>
      <c r="L145" s="2">
        <f t="shared" si="31"/>
        <v>0</v>
      </c>
    </row>
    <row r="146" spans="1:12" ht="25.5">
      <c r="A146" s="47" t="s">
        <v>45</v>
      </c>
      <c r="B146" s="73"/>
      <c r="C146" s="73"/>
      <c r="D146" s="73"/>
      <c r="E146" s="73"/>
      <c r="F146" s="73"/>
      <c r="G146" s="73"/>
      <c r="H146" s="73"/>
      <c r="I146" s="73"/>
      <c r="J146" s="72"/>
      <c r="K146" s="72"/>
      <c r="L146" s="2">
        <f t="shared" si="31"/>
        <v>0</v>
      </c>
    </row>
    <row r="147" spans="1:12" s="66" customFormat="1" ht="25.5">
      <c r="A147" s="47" t="s">
        <v>46</v>
      </c>
      <c r="B147" s="73"/>
      <c r="C147" s="73"/>
      <c r="D147" s="73"/>
      <c r="E147" s="73"/>
      <c r="F147" s="73"/>
      <c r="G147" s="73"/>
      <c r="H147" s="73"/>
      <c r="I147" s="73"/>
      <c r="J147" s="72"/>
      <c r="K147" s="72"/>
      <c r="L147" s="2">
        <f t="shared" si="31"/>
        <v>0</v>
      </c>
    </row>
    <row r="148" spans="1:12" ht="25.5">
      <c r="A148" s="59" t="s">
        <v>47</v>
      </c>
      <c r="B148" s="29">
        <f aca="true" t="shared" si="42" ref="B148:K148">B145+B146+B147</f>
        <v>0</v>
      </c>
      <c r="C148" s="29">
        <f t="shared" si="42"/>
        <v>0</v>
      </c>
      <c r="D148" s="29">
        <f t="shared" si="42"/>
        <v>0</v>
      </c>
      <c r="E148" s="29">
        <f t="shared" si="42"/>
        <v>0</v>
      </c>
      <c r="F148" s="29">
        <f t="shared" si="42"/>
        <v>0</v>
      </c>
      <c r="G148" s="29">
        <f t="shared" si="42"/>
        <v>0</v>
      </c>
      <c r="H148" s="29">
        <f t="shared" si="42"/>
        <v>0</v>
      </c>
      <c r="I148" s="29">
        <f t="shared" si="42"/>
        <v>0</v>
      </c>
      <c r="J148" s="29">
        <f t="shared" si="42"/>
        <v>0</v>
      </c>
      <c r="K148" s="29">
        <f t="shared" si="42"/>
        <v>0</v>
      </c>
      <c r="L148" s="2">
        <f t="shared" si="31"/>
        <v>0</v>
      </c>
    </row>
    <row r="149" spans="1:12" ht="12.75">
      <c r="A149" s="14">
        <v>45505</v>
      </c>
      <c r="B149" s="29"/>
      <c r="C149" s="29"/>
      <c r="D149" s="29"/>
      <c r="E149" s="29"/>
      <c r="F149" s="29"/>
      <c r="G149" s="11"/>
      <c r="H149" s="32"/>
      <c r="I149" s="32"/>
      <c r="J149" s="35"/>
      <c r="K149" s="35"/>
      <c r="L149" s="2">
        <f t="shared" si="31"/>
        <v>0</v>
      </c>
    </row>
    <row r="150" spans="1:12" ht="25.5">
      <c r="A150" s="47" t="s">
        <v>48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2">
        <f t="shared" si="31"/>
        <v>0</v>
      </c>
    </row>
    <row r="151" spans="1:12" ht="25.5">
      <c r="A151" s="47" t="s">
        <v>49</v>
      </c>
      <c r="B151" s="52"/>
      <c r="C151" s="52"/>
      <c r="D151" s="52"/>
      <c r="E151" s="52"/>
      <c r="F151" s="52"/>
      <c r="G151" s="52"/>
      <c r="H151" s="52"/>
      <c r="I151" s="52"/>
      <c r="J151" s="51"/>
      <c r="K151" s="51"/>
      <c r="L151" s="2">
        <f t="shared" si="31"/>
        <v>0</v>
      </c>
    </row>
    <row r="152" spans="1:12" ht="25.5">
      <c r="A152" s="59" t="s">
        <v>50</v>
      </c>
      <c r="B152" s="29">
        <f aca="true" t="shared" si="43" ref="B152:K152">SUM(B149:B151)</f>
        <v>0</v>
      </c>
      <c r="C152" s="29">
        <f t="shared" si="43"/>
        <v>0</v>
      </c>
      <c r="D152" s="29">
        <f t="shared" si="43"/>
        <v>0</v>
      </c>
      <c r="E152" s="29">
        <f t="shared" si="43"/>
        <v>0</v>
      </c>
      <c r="F152" s="29">
        <f t="shared" si="43"/>
        <v>0</v>
      </c>
      <c r="G152" s="29">
        <f t="shared" si="43"/>
        <v>0</v>
      </c>
      <c r="H152" s="29">
        <f t="shared" si="43"/>
        <v>0</v>
      </c>
      <c r="I152" s="29">
        <f t="shared" si="43"/>
        <v>0</v>
      </c>
      <c r="J152" s="29">
        <f t="shared" si="43"/>
        <v>0</v>
      </c>
      <c r="K152" s="29">
        <f t="shared" si="43"/>
        <v>0</v>
      </c>
      <c r="L152" s="2">
        <f t="shared" si="31"/>
        <v>0</v>
      </c>
    </row>
    <row r="153" spans="1:12" ht="12.75">
      <c r="A153" s="14">
        <v>45536</v>
      </c>
      <c r="B153" s="29"/>
      <c r="C153" s="29"/>
      <c r="D153" s="11"/>
      <c r="E153" s="29"/>
      <c r="F153" s="29"/>
      <c r="G153" s="29"/>
      <c r="H153" s="32"/>
      <c r="I153" s="32"/>
      <c r="J153" s="35"/>
      <c r="K153" s="35"/>
      <c r="L153" s="2">
        <f t="shared" si="31"/>
        <v>0</v>
      </c>
    </row>
    <row r="154" spans="1:12" ht="25.5">
      <c r="A154" s="47" t="s">
        <v>51</v>
      </c>
      <c r="B154" s="52"/>
      <c r="C154" s="52"/>
      <c r="D154" s="52"/>
      <c r="E154" s="52"/>
      <c r="F154" s="52"/>
      <c r="G154" s="52"/>
      <c r="H154" s="52"/>
      <c r="I154" s="52"/>
      <c r="J154" s="51"/>
      <c r="K154" s="72"/>
      <c r="L154" s="2">
        <f t="shared" si="31"/>
        <v>0</v>
      </c>
    </row>
    <row r="155" spans="1:12" ht="25.5">
      <c r="A155" s="47" t="s">
        <v>52</v>
      </c>
      <c r="B155" s="52"/>
      <c r="C155" s="52"/>
      <c r="D155" s="52"/>
      <c r="E155" s="52"/>
      <c r="F155" s="52"/>
      <c r="G155" s="52"/>
      <c r="H155" s="52"/>
      <c r="I155" s="52"/>
      <c r="J155" s="51"/>
      <c r="K155" s="72"/>
      <c r="L155" s="2">
        <f t="shared" si="31"/>
        <v>0</v>
      </c>
    </row>
    <row r="156" spans="1:12" ht="25.5">
      <c r="A156" s="59" t="s">
        <v>53</v>
      </c>
      <c r="B156" s="29">
        <f aca="true" t="shared" si="44" ref="B156:K156">B153+B154+B155</f>
        <v>0</v>
      </c>
      <c r="C156" s="29">
        <f t="shared" si="44"/>
        <v>0</v>
      </c>
      <c r="D156" s="29">
        <f t="shared" si="44"/>
        <v>0</v>
      </c>
      <c r="E156" s="29">
        <f t="shared" si="44"/>
        <v>0</v>
      </c>
      <c r="F156" s="29">
        <f t="shared" si="44"/>
        <v>0</v>
      </c>
      <c r="G156" s="29">
        <f t="shared" si="44"/>
        <v>0</v>
      </c>
      <c r="H156" s="29">
        <f t="shared" si="44"/>
        <v>0</v>
      </c>
      <c r="I156" s="29">
        <f t="shared" si="44"/>
        <v>0</v>
      </c>
      <c r="J156" s="29">
        <f t="shared" si="44"/>
        <v>0</v>
      </c>
      <c r="K156" s="29">
        <f t="shared" si="44"/>
        <v>0</v>
      </c>
      <c r="L156" s="2">
        <f t="shared" si="31"/>
        <v>0</v>
      </c>
    </row>
    <row r="157" spans="1:12" ht="12.75">
      <c r="A157" s="15" t="s">
        <v>54</v>
      </c>
      <c r="B157" s="20">
        <f aca="true" t="shared" si="45" ref="B157:K157">B145+B149+B153</f>
        <v>0</v>
      </c>
      <c r="C157" s="20">
        <f t="shared" si="45"/>
        <v>0</v>
      </c>
      <c r="D157" s="20">
        <f t="shared" si="45"/>
        <v>0</v>
      </c>
      <c r="E157" s="20">
        <f t="shared" si="45"/>
        <v>0</v>
      </c>
      <c r="F157" s="20">
        <f t="shared" si="45"/>
        <v>0</v>
      </c>
      <c r="G157" s="20">
        <f t="shared" si="45"/>
        <v>0</v>
      </c>
      <c r="H157" s="20">
        <f t="shared" si="45"/>
        <v>0</v>
      </c>
      <c r="I157" s="20">
        <f t="shared" si="45"/>
        <v>0</v>
      </c>
      <c r="J157" s="20">
        <f t="shared" si="45"/>
        <v>0</v>
      </c>
      <c r="K157" s="20">
        <f t="shared" si="45"/>
        <v>0</v>
      </c>
      <c r="L157" s="2">
        <f t="shared" si="31"/>
        <v>0</v>
      </c>
    </row>
    <row r="158" spans="1:12" ht="25.5">
      <c r="A158" s="48" t="s">
        <v>55</v>
      </c>
      <c r="B158" s="20">
        <f aca="true" t="shared" si="46" ref="B158:K158">B147+B151+B155</f>
        <v>0</v>
      </c>
      <c r="C158" s="20">
        <f t="shared" si="46"/>
        <v>0</v>
      </c>
      <c r="D158" s="20">
        <f t="shared" si="46"/>
        <v>0</v>
      </c>
      <c r="E158" s="20">
        <f t="shared" si="46"/>
        <v>0</v>
      </c>
      <c r="F158" s="20">
        <f t="shared" si="46"/>
        <v>0</v>
      </c>
      <c r="G158" s="20">
        <f t="shared" si="46"/>
        <v>0</v>
      </c>
      <c r="H158" s="20">
        <f t="shared" si="46"/>
        <v>0</v>
      </c>
      <c r="I158" s="20">
        <f t="shared" si="46"/>
        <v>0</v>
      </c>
      <c r="J158" s="20">
        <f t="shared" si="46"/>
        <v>0</v>
      </c>
      <c r="K158" s="20">
        <f t="shared" si="46"/>
        <v>0</v>
      </c>
      <c r="L158" s="2">
        <f t="shared" si="31"/>
        <v>0</v>
      </c>
    </row>
    <row r="159" spans="1:12" ht="25.5">
      <c r="A159" s="48" t="s">
        <v>56</v>
      </c>
      <c r="B159" s="20">
        <f>B146+B150+B154</f>
        <v>0</v>
      </c>
      <c r="C159" s="20">
        <f aca="true" t="shared" si="47" ref="C159:K159">C150+C154</f>
        <v>0</v>
      </c>
      <c r="D159" s="20">
        <f t="shared" si="47"/>
        <v>0</v>
      </c>
      <c r="E159" s="20">
        <f t="shared" si="47"/>
        <v>0</v>
      </c>
      <c r="F159" s="20">
        <f t="shared" si="47"/>
        <v>0</v>
      </c>
      <c r="G159" s="20">
        <f t="shared" si="47"/>
        <v>0</v>
      </c>
      <c r="H159" s="20">
        <f t="shared" si="47"/>
        <v>0</v>
      </c>
      <c r="I159" s="20">
        <f t="shared" si="47"/>
        <v>0</v>
      </c>
      <c r="J159" s="20">
        <f t="shared" si="47"/>
        <v>0</v>
      </c>
      <c r="K159" s="20">
        <f t="shared" si="47"/>
        <v>0</v>
      </c>
      <c r="L159" s="2">
        <f t="shared" si="31"/>
        <v>0</v>
      </c>
    </row>
    <row r="160" spans="1:12" ht="38.25">
      <c r="A160" s="48" t="s">
        <v>57</v>
      </c>
      <c r="B160" s="20">
        <f aca="true" t="shared" si="48" ref="B160:K160">B157+B158+B159</f>
        <v>0</v>
      </c>
      <c r="C160" s="20">
        <f t="shared" si="48"/>
        <v>0</v>
      </c>
      <c r="D160" s="20">
        <f t="shared" si="48"/>
        <v>0</v>
      </c>
      <c r="E160" s="20">
        <f t="shared" si="48"/>
        <v>0</v>
      </c>
      <c r="F160" s="20">
        <f t="shared" si="48"/>
        <v>0</v>
      </c>
      <c r="G160" s="20">
        <f t="shared" si="48"/>
        <v>0</v>
      </c>
      <c r="H160" s="20">
        <f t="shared" si="48"/>
        <v>0</v>
      </c>
      <c r="I160" s="20">
        <f t="shared" si="48"/>
        <v>0</v>
      </c>
      <c r="J160" s="20">
        <f t="shared" si="48"/>
        <v>0</v>
      </c>
      <c r="K160" s="20">
        <f t="shared" si="48"/>
        <v>0</v>
      </c>
      <c r="L160" s="2">
        <f t="shared" si="31"/>
        <v>0</v>
      </c>
    </row>
    <row r="161" spans="1:12" ht="12.75">
      <c r="A161" s="14">
        <v>45566</v>
      </c>
      <c r="B161" s="11"/>
      <c r="C161" s="29"/>
      <c r="D161" s="11"/>
      <c r="E161" s="29"/>
      <c r="F161" s="29"/>
      <c r="G161" s="11"/>
      <c r="H161" s="32"/>
      <c r="I161" s="32"/>
      <c r="J161" s="35"/>
      <c r="K161" s="35"/>
      <c r="L161" s="2">
        <f t="shared" si="31"/>
        <v>0</v>
      </c>
    </row>
    <row r="162" spans="1:12" ht="25.5">
      <c r="A162" s="47" t="s">
        <v>58</v>
      </c>
      <c r="B162" s="52"/>
      <c r="C162" s="52"/>
      <c r="D162" s="52"/>
      <c r="E162" s="52"/>
      <c r="F162" s="52"/>
      <c r="G162" s="52"/>
      <c r="H162" s="52"/>
      <c r="I162" s="52"/>
      <c r="J162" s="51"/>
      <c r="K162" s="72"/>
      <c r="L162" s="2">
        <f t="shared" si="31"/>
        <v>0</v>
      </c>
    </row>
    <row r="163" spans="1:12" ht="25.5">
      <c r="A163" s="47" t="s">
        <v>59</v>
      </c>
      <c r="B163" s="52"/>
      <c r="C163" s="52"/>
      <c r="D163" s="52"/>
      <c r="E163" s="52"/>
      <c r="F163" s="52"/>
      <c r="G163" s="52"/>
      <c r="H163" s="52"/>
      <c r="I163" s="52"/>
      <c r="J163" s="51"/>
      <c r="K163" s="72"/>
      <c r="L163" s="2">
        <f t="shared" si="31"/>
        <v>0</v>
      </c>
    </row>
    <row r="164" spans="1:12" ht="12.75">
      <c r="A164" s="59" t="s">
        <v>60</v>
      </c>
      <c r="B164" s="11">
        <f aca="true" t="shared" si="49" ref="B164:K164">SUM(B161:B163)</f>
        <v>0</v>
      </c>
      <c r="C164" s="11">
        <f t="shared" si="49"/>
        <v>0</v>
      </c>
      <c r="D164" s="11">
        <f t="shared" si="49"/>
        <v>0</v>
      </c>
      <c r="E164" s="11">
        <f t="shared" si="49"/>
        <v>0</v>
      </c>
      <c r="F164" s="11">
        <f t="shared" si="49"/>
        <v>0</v>
      </c>
      <c r="G164" s="11">
        <f t="shared" si="49"/>
        <v>0</v>
      </c>
      <c r="H164" s="11">
        <f t="shared" si="49"/>
        <v>0</v>
      </c>
      <c r="I164" s="11">
        <f t="shared" si="49"/>
        <v>0</v>
      </c>
      <c r="J164" s="11">
        <f t="shared" si="49"/>
        <v>0</v>
      </c>
      <c r="K164" s="11">
        <f t="shared" si="49"/>
        <v>0</v>
      </c>
      <c r="L164" s="2">
        <f t="shared" si="31"/>
        <v>0</v>
      </c>
    </row>
    <row r="165" spans="1:12" ht="12.75">
      <c r="A165" s="38">
        <v>45597</v>
      </c>
      <c r="B165" s="101"/>
      <c r="C165" s="101"/>
      <c r="D165" s="11"/>
      <c r="E165" s="11"/>
      <c r="F165" s="11"/>
      <c r="G165" s="101"/>
      <c r="H165" s="32"/>
      <c r="I165" s="32"/>
      <c r="J165" s="35"/>
      <c r="K165" s="31"/>
      <c r="L165" s="2">
        <f t="shared" si="31"/>
        <v>0</v>
      </c>
    </row>
    <row r="166" spans="1:12" ht="25.5">
      <c r="A166" s="47" t="s">
        <v>61</v>
      </c>
      <c r="B166" s="52"/>
      <c r="C166" s="99"/>
      <c r="D166" s="52"/>
      <c r="E166" s="99"/>
      <c r="F166" s="52"/>
      <c r="G166" s="52"/>
      <c r="H166" s="52"/>
      <c r="I166" s="52"/>
      <c r="J166" s="51"/>
      <c r="K166" s="51"/>
      <c r="L166" s="2">
        <f t="shared" si="31"/>
        <v>0</v>
      </c>
    </row>
    <row r="167" spans="1:12" ht="25.5">
      <c r="A167" s="47" t="s">
        <v>62</v>
      </c>
      <c r="B167" s="52"/>
      <c r="C167" s="99"/>
      <c r="D167" s="52"/>
      <c r="E167" s="99"/>
      <c r="F167" s="52"/>
      <c r="G167" s="52"/>
      <c r="H167" s="52"/>
      <c r="I167" s="52"/>
      <c r="J167" s="51"/>
      <c r="K167" s="51"/>
      <c r="L167" s="2">
        <f t="shared" si="31"/>
        <v>0</v>
      </c>
    </row>
    <row r="168" spans="1:12" ht="12.75">
      <c r="A168" s="59" t="s">
        <v>63</v>
      </c>
      <c r="B168" s="42">
        <f aca="true" t="shared" si="50" ref="B168:K168">SUM(B165:B167)</f>
        <v>0</v>
      </c>
      <c r="C168" s="42">
        <f t="shared" si="50"/>
        <v>0</v>
      </c>
      <c r="D168" s="42">
        <f t="shared" si="50"/>
        <v>0</v>
      </c>
      <c r="E168" s="42">
        <f t="shared" si="50"/>
        <v>0</v>
      </c>
      <c r="F168" s="42">
        <f t="shared" si="50"/>
        <v>0</v>
      </c>
      <c r="G168" s="42">
        <f t="shared" si="50"/>
        <v>0</v>
      </c>
      <c r="H168" s="42">
        <f t="shared" si="50"/>
        <v>0</v>
      </c>
      <c r="I168" s="42">
        <f t="shared" si="50"/>
        <v>0</v>
      </c>
      <c r="J168" s="42">
        <f t="shared" si="50"/>
        <v>0</v>
      </c>
      <c r="K168" s="42">
        <f t="shared" si="50"/>
        <v>0</v>
      </c>
      <c r="L168" s="2">
        <f t="shared" si="31"/>
        <v>0</v>
      </c>
    </row>
    <row r="169" spans="1:12" ht="12.75">
      <c r="A169" s="14">
        <v>45627</v>
      </c>
      <c r="B169" s="101"/>
      <c r="C169" s="101"/>
      <c r="D169" s="101"/>
      <c r="E169" s="101"/>
      <c r="F169" s="101"/>
      <c r="G169" s="101"/>
      <c r="H169" s="32"/>
      <c r="I169" s="32"/>
      <c r="J169" s="35"/>
      <c r="K169" s="31"/>
      <c r="L169" s="2">
        <f t="shared" si="31"/>
        <v>0</v>
      </c>
    </row>
    <row r="170" spans="1:12" ht="25.5">
      <c r="A170" s="47" t="s">
        <v>64</v>
      </c>
      <c r="B170" s="73"/>
      <c r="C170" s="73"/>
      <c r="D170" s="73"/>
      <c r="E170" s="73"/>
      <c r="F170" s="73"/>
      <c r="G170" s="73"/>
      <c r="H170" s="73"/>
      <c r="I170" s="72"/>
      <c r="J170" s="72"/>
      <c r="K170" s="72"/>
      <c r="L170" s="2">
        <f t="shared" si="31"/>
        <v>0</v>
      </c>
    </row>
    <row r="171" spans="1:12" ht="25.5">
      <c r="A171" s="47" t="s">
        <v>65</v>
      </c>
      <c r="B171" s="73"/>
      <c r="C171" s="73"/>
      <c r="D171" s="73"/>
      <c r="E171" s="73"/>
      <c r="F171" s="73"/>
      <c r="G171" s="73"/>
      <c r="H171" s="73"/>
      <c r="I171" s="72"/>
      <c r="J171" s="72"/>
      <c r="K171" s="72"/>
      <c r="L171" s="2">
        <f t="shared" si="31"/>
        <v>0</v>
      </c>
    </row>
    <row r="172" spans="1:12" ht="12.75">
      <c r="A172" s="59" t="s">
        <v>66</v>
      </c>
      <c r="B172" s="42">
        <f aca="true" t="shared" si="51" ref="B172:K172">SUM(B169:B171)</f>
        <v>0</v>
      </c>
      <c r="C172" s="42">
        <f t="shared" si="51"/>
        <v>0</v>
      </c>
      <c r="D172" s="42">
        <f t="shared" si="51"/>
        <v>0</v>
      </c>
      <c r="E172" s="42">
        <f t="shared" si="51"/>
        <v>0</v>
      </c>
      <c r="F172" s="42">
        <f t="shared" si="51"/>
        <v>0</v>
      </c>
      <c r="G172" s="42">
        <f t="shared" si="51"/>
        <v>0</v>
      </c>
      <c r="H172" s="42">
        <f t="shared" si="51"/>
        <v>0</v>
      </c>
      <c r="I172" s="42">
        <f t="shared" si="51"/>
        <v>0</v>
      </c>
      <c r="J172" s="42">
        <f t="shared" si="51"/>
        <v>0</v>
      </c>
      <c r="K172" s="42">
        <f t="shared" si="51"/>
        <v>0</v>
      </c>
      <c r="L172" s="2">
        <f t="shared" si="31"/>
        <v>0</v>
      </c>
    </row>
    <row r="173" spans="1:12" ht="25.5">
      <c r="A173" s="5" t="s">
        <v>67</v>
      </c>
      <c r="B173" s="20">
        <f>B161+B165+B169</f>
        <v>0</v>
      </c>
      <c r="C173" s="20">
        <f aca="true" t="shared" si="52" ref="C173:K173">C161+C165+C169</f>
        <v>0</v>
      </c>
      <c r="D173" s="20">
        <f t="shared" si="52"/>
        <v>0</v>
      </c>
      <c r="E173" s="20">
        <f t="shared" si="52"/>
        <v>0</v>
      </c>
      <c r="F173" s="20">
        <f t="shared" si="52"/>
        <v>0</v>
      </c>
      <c r="G173" s="20">
        <f t="shared" si="52"/>
        <v>0</v>
      </c>
      <c r="H173" s="20">
        <f t="shared" si="52"/>
        <v>0</v>
      </c>
      <c r="I173" s="20">
        <f t="shared" si="52"/>
        <v>0</v>
      </c>
      <c r="J173" s="20">
        <f t="shared" si="52"/>
        <v>0</v>
      </c>
      <c r="K173" s="20">
        <f t="shared" si="52"/>
        <v>0</v>
      </c>
      <c r="L173" s="2">
        <f t="shared" si="31"/>
        <v>0</v>
      </c>
    </row>
    <row r="174" spans="1:12" ht="25.5">
      <c r="A174" s="48" t="s">
        <v>68</v>
      </c>
      <c r="B174" s="20">
        <f>B163+B167+B171</f>
        <v>0</v>
      </c>
      <c r="C174" s="20">
        <f aca="true" t="shared" si="53" ref="C174:K174">C163+C167</f>
        <v>0</v>
      </c>
      <c r="D174" s="20">
        <f t="shared" si="53"/>
        <v>0</v>
      </c>
      <c r="E174" s="20">
        <f t="shared" si="53"/>
        <v>0</v>
      </c>
      <c r="F174" s="20">
        <f t="shared" si="53"/>
        <v>0</v>
      </c>
      <c r="G174" s="20">
        <f t="shared" si="53"/>
        <v>0</v>
      </c>
      <c r="H174" s="20">
        <f t="shared" si="53"/>
        <v>0</v>
      </c>
      <c r="I174" s="20">
        <f t="shared" si="53"/>
        <v>0</v>
      </c>
      <c r="J174" s="20">
        <f t="shared" si="53"/>
        <v>0</v>
      </c>
      <c r="K174" s="20">
        <f t="shared" si="53"/>
        <v>0</v>
      </c>
      <c r="L174" s="2">
        <f t="shared" si="31"/>
        <v>0</v>
      </c>
    </row>
    <row r="175" spans="1:12" ht="25.5">
      <c r="A175" s="48" t="s">
        <v>69</v>
      </c>
      <c r="B175" s="20">
        <f>B162+B166+B170</f>
        <v>0</v>
      </c>
      <c r="C175" s="20">
        <f aca="true" t="shared" si="54" ref="C175:K175">C162+C166</f>
        <v>0</v>
      </c>
      <c r="D175" s="20">
        <f t="shared" si="54"/>
        <v>0</v>
      </c>
      <c r="E175" s="20">
        <f t="shared" si="54"/>
        <v>0</v>
      </c>
      <c r="F175" s="20">
        <f t="shared" si="54"/>
        <v>0</v>
      </c>
      <c r="G175" s="20">
        <f t="shared" si="54"/>
        <v>0</v>
      </c>
      <c r="H175" s="20">
        <f t="shared" si="54"/>
        <v>0</v>
      </c>
      <c r="I175" s="20">
        <f t="shared" si="54"/>
        <v>0</v>
      </c>
      <c r="J175" s="20">
        <f t="shared" si="54"/>
        <v>0</v>
      </c>
      <c r="K175" s="20">
        <f t="shared" si="54"/>
        <v>0</v>
      </c>
      <c r="L175" s="2">
        <f aca="true" t="shared" si="55" ref="L175:L180">B175+C175+D175+E175+F175+G175+H175+I175+J175+K175</f>
        <v>0</v>
      </c>
    </row>
    <row r="176" spans="1:12" ht="38.25">
      <c r="A176" s="48" t="s">
        <v>70</v>
      </c>
      <c r="B176" s="20">
        <f aca="true" t="shared" si="56" ref="B176:K176">SUM(B173:B175)</f>
        <v>0</v>
      </c>
      <c r="C176" s="20">
        <f t="shared" si="56"/>
        <v>0</v>
      </c>
      <c r="D176" s="20">
        <f t="shared" si="56"/>
        <v>0</v>
      </c>
      <c r="E176" s="20">
        <f t="shared" si="56"/>
        <v>0</v>
      </c>
      <c r="F176" s="20">
        <f t="shared" si="56"/>
        <v>0</v>
      </c>
      <c r="G176" s="20">
        <f t="shared" si="56"/>
        <v>0</v>
      </c>
      <c r="H176" s="20">
        <f t="shared" si="56"/>
        <v>0</v>
      </c>
      <c r="I176" s="20">
        <f t="shared" si="56"/>
        <v>0</v>
      </c>
      <c r="J176" s="20">
        <f t="shared" si="56"/>
        <v>0</v>
      </c>
      <c r="K176" s="20">
        <f t="shared" si="56"/>
        <v>0</v>
      </c>
      <c r="L176" s="2">
        <f t="shared" si="55"/>
        <v>0</v>
      </c>
    </row>
    <row r="177" spans="1:12" ht="25.5">
      <c r="A177" s="19" t="s">
        <v>71</v>
      </c>
      <c r="B177" s="20">
        <f aca="true" t="shared" si="57" ref="B177:K177">B125+B141+B157+B173</f>
        <v>1354.01</v>
      </c>
      <c r="C177" s="20">
        <f t="shared" si="57"/>
        <v>19417.82</v>
      </c>
      <c r="D177" s="20">
        <f t="shared" si="57"/>
        <v>39735.2</v>
      </c>
      <c r="E177" s="20">
        <f t="shared" si="57"/>
        <v>129880.94</v>
      </c>
      <c r="F177" s="20">
        <f t="shared" si="57"/>
        <v>45497.7</v>
      </c>
      <c r="G177" s="20">
        <f t="shared" si="57"/>
        <v>738313.15</v>
      </c>
      <c r="H177" s="20">
        <f t="shared" si="57"/>
        <v>0</v>
      </c>
      <c r="I177" s="20">
        <f t="shared" si="57"/>
        <v>425343.87000000005</v>
      </c>
      <c r="J177" s="20">
        <f t="shared" si="57"/>
        <v>0</v>
      </c>
      <c r="K177" s="20">
        <f t="shared" si="57"/>
        <v>677641.5700000001</v>
      </c>
      <c r="L177" s="2">
        <f t="shared" si="55"/>
        <v>2077184.2600000002</v>
      </c>
    </row>
    <row r="178" spans="1:12" ht="38.25">
      <c r="A178" s="19" t="s">
        <v>72</v>
      </c>
      <c r="B178" s="75">
        <f aca="true" t="shared" si="58" ref="B178:K178">B126+B142+B158+B174</f>
        <v>0</v>
      </c>
      <c r="C178" s="75">
        <f t="shared" si="58"/>
        <v>0</v>
      </c>
      <c r="D178" s="75">
        <f t="shared" si="58"/>
        <v>0</v>
      </c>
      <c r="E178" s="75">
        <f t="shared" si="58"/>
        <v>0</v>
      </c>
      <c r="F178" s="75">
        <f t="shared" si="58"/>
        <v>0</v>
      </c>
      <c r="G178" s="75">
        <f t="shared" si="58"/>
        <v>0</v>
      </c>
      <c r="H178" s="75">
        <f t="shared" si="58"/>
        <v>0</v>
      </c>
      <c r="I178" s="75">
        <f t="shared" si="58"/>
        <v>95325.7</v>
      </c>
      <c r="J178" s="75">
        <f t="shared" si="58"/>
        <v>0</v>
      </c>
      <c r="K178" s="75">
        <f t="shared" si="58"/>
        <v>481902.4</v>
      </c>
      <c r="L178" s="2">
        <f t="shared" si="55"/>
        <v>577228.1</v>
      </c>
    </row>
    <row r="179" spans="1:12" ht="25.5">
      <c r="A179" s="19" t="s">
        <v>73</v>
      </c>
      <c r="B179" s="75">
        <f aca="true" t="shared" si="59" ref="B179:K179">B159+B175</f>
        <v>0</v>
      </c>
      <c r="C179" s="75">
        <f t="shared" si="59"/>
        <v>0</v>
      </c>
      <c r="D179" s="75">
        <f t="shared" si="59"/>
        <v>0</v>
      </c>
      <c r="E179" s="75">
        <f t="shared" si="59"/>
        <v>0</v>
      </c>
      <c r="F179" s="75">
        <f t="shared" si="59"/>
        <v>0</v>
      </c>
      <c r="G179" s="75">
        <f t="shared" si="59"/>
        <v>0</v>
      </c>
      <c r="H179" s="75">
        <f t="shared" si="59"/>
        <v>0</v>
      </c>
      <c r="I179" s="75">
        <f t="shared" si="59"/>
        <v>0</v>
      </c>
      <c r="J179" s="75">
        <f t="shared" si="59"/>
        <v>0</v>
      </c>
      <c r="K179" s="75">
        <f t="shared" si="59"/>
        <v>0</v>
      </c>
      <c r="L179" s="2">
        <f t="shared" si="55"/>
        <v>0</v>
      </c>
    </row>
    <row r="180" spans="1:12" ht="51">
      <c r="A180" s="19" t="s">
        <v>74</v>
      </c>
      <c r="B180" s="20">
        <f aca="true" t="shared" si="60" ref="B180:K180">B177+B178+B179</f>
        <v>1354.01</v>
      </c>
      <c r="C180" s="20">
        <f t="shared" si="60"/>
        <v>19417.82</v>
      </c>
      <c r="D180" s="20">
        <f t="shared" si="60"/>
        <v>39735.2</v>
      </c>
      <c r="E180" s="20">
        <f t="shared" si="60"/>
        <v>129880.94</v>
      </c>
      <c r="F180" s="20">
        <f t="shared" si="60"/>
        <v>45497.7</v>
      </c>
      <c r="G180" s="20">
        <f t="shared" si="60"/>
        <v>738313.15</v>
      </c>
      <c r="H180" s="20">
        <f t="shared" si="60"/>
        <v>0</v>
      </c>
      <c r="I180" s="20">
        <f t="shared" si="60"/>
        <v>520669.57000000007</v>
      </c>
      <c r="J180" s="20">
        <f t="shared" si="60"/>
        <v>0</v>
      </c>
      <c r="K180" s="20">
        <f t="shared" si="60"/>
        <v>1159543.9700000002</v>
      </c>
      <c r="L180" s="2">
        <f t="shared" si="55"/>
        <v>2654412.3600000003</v>
      </c>
    </row>
    <row r="181" spans="1:12" ht="12.7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9" ht="12.75">
      <c r="A182" s="21"/>
      <c r="B182" s="22"/>
      <c r="C182" s="22"/>
      <c r="D182" s="22"/>
      <c r="E182" s="22"/>
      <c r="F182" s="23"/>
      <c r="G182" s="23"/>
      <c r="H182" s="24"/>
      <c r="I182" s="18"/>
    </row>
    <row r="183" spans="1:2" ht="12.75">
      <c r="A183" s="12"/>
      <c r="B183" s="26" t="s">
        <v>79</v>
      </c>
    </row>
    <row r="184" spans="1:9" ht="12.75">
      <c r="A184" s="67"/>
      <c r="B184" s="68"/>
      <c r="C184" s="118"/>
      <c r="D184" s="118"/>
      <c r="E184" s="71"/>
      <c r="F184" s="118"/>
      <c r="G184" s="118"/>
      <c r="H184" s="41"/>
      <c r="I184" s="41"/>
    </row>
    <row r="185" spans="1:9" ht="12.75">
      <c r="A185" s="111" t="s">
        <v>0</v>
      </c>
      <c r="B185" s="69" t="s">
        <v>15</v>
      </c>
      <c r="C185" s="71"/>
      <c r="D185" s="70"/>
      <c r="E185" s="70"/>
      <c r="F185" s="71"/>
      <c r="G185" s="70"/>
      <c r="H185" s="70"/>
      <c r="I185" s="71"/>
    </row>
    <row r="186" spans="1:9" ht="12.75">
      <c r="A186" s="111"/>
      <c r="B186" s="69" t="s">
        <v>16</v>
      </c>
      <c r="C186" s="17"/>
      <c r="D186" s="17"/>
      <c r="E186" s="25"/>
      <c r="F186" s="41"/>
      <c r="G186" s="41"/>
      <c r="H186" s="41"/>
      <c r="I186" s="41"/>
    </row>
    <row r="187" spans="1:9" ht="25.5">
      <c r="A187" s="47" t="s">
        <v>84</v>
      </c>
      <c r="B187" s="106">
        <v>124.8</v>
      </c>
      <c r="C187" s="17"/>
      <c r="D187" s="17"/>
      <c r="E187" s="25"/>
      <c r="F187" s="41"/>
      <c r="G187" s="41"/>
      <c r="H187" s="41"/>
      <c r="I187" s="41"/>
    </row>
    <row r="188" spans="1:9" ht="25.5">
      <c r="A188" s="47" t="s">
        <v>85</v>
      </c>
      <c r="B188" s="106">
        <v>160367.24</v>
      </c>
      <c r="C188" s="17"/>
      <c r="D188" s="17"/>
      <c r="E188" s="25"/>
      <c r="F188" s="41"/>
      <c r="G188" s="41"/>
      <c r="H188" s="41"/>
      <c r="I188" s="41"/>
    </row>
    <row r="189" spans="1:9" ht="12.75">
      <c r="A189" s="59" t="s">
        <v>86</v>
      </c>
      <c r="B189" s="106">
        <f>SUM(B187:B188)</f>
        <v>160492.03999999998</v>
      </c>
      <c r="C189" s="17"/>
      <c r="D189" s="17"/>
      <c r="E189" s="25"/>
      <c r="F189" s="41"/>
      <c r="G189" s="41"/>
      <c r="H189" s="41"/>
      <c r="I189" s="41"/>
    </row>
    <row r="190" spans="1:11" ht="12.75">
      <c r="A190" s="14">
        <v>45292</v>
      </c>
      <c r="B190" s="31">
        <f>L113+D89+I7</f>
        <v>946669.26</v>
      </c>
      <c r="C190" s="9"/>
      <c r="D190" s="8"/>
      <c r="E190" s="8"/>
      <c r="F190" s="18"/>
      <c r="G190" s="18"/>
      <c r="H190" s="8"/>
      <c r="I190" s="8"/>
      <c r="J190" s="1"/>
      <c r="K190" s="1"/>
    </row>
    <row r="191" spans="1:11" ht="25.5">
      <c r="A191" s="107" t="s">
        <v>19</v>
      </c>
      <c r="B191" s="31">
        <f>L114+I8</f>
        <v>301965.52</v>
      </c>
      <c r="C191" s="82"/>
      <c r="D191" s="82"/>
      <c r="E191" s="82"/>
      <c r="F191" s="81"/>
      <c r="G191" s="81"/>
      <c r="H191" s="8"/>
      <c r="I191" s="8"/>
      <c r="J191" s="1"/>
      <c r="K191" s="1"/>
    </row>
    <row r="192" spans="1:11" ht="38.25">
      <c r="A192" s="107" t="s">
        <v>88</v>
      </c>
      <c r="B192" s="31">
        <f>I9</f>
        <v>322.8</v>
      </c>
      <c r="C192" s="82"/>
      <c r="D192" s="82"/>
      <c r="E192" s="82"/>
      <c r="F192" s="81"/>
      <c r="G192" s="81"/>
      <c r="H192" s="8"/>
      <c r="I192" s="8"/>
      <c r="J192" s="1"/>
      <c r="K192" s="1"/>
    </row>
    <row r="193" spans="1:11" ht="25.5">
      <c r="A193" s="47" t="s">
        <v>20</v>
      </c>
      <c r="B193" s="31">
        <f>L115+I10</f>
        <v>1617.23</v>
      </c>
      <c r="C193" s="82"/>
      <c r="D193" s="82"/>
      <c r="E193" s="82"/>
      <c r="F193" s="81"/>
      <c r="G193" s="81"/>
      <c r="H193" s="8"/>
      <c r="I193" s="8"/>
      <c r="J193" s="1"/>
      <c r="K193" s="1"/>
    </row>
    <row r="194" spans="1:11" ht="25.5">
      <c r="A194" s="89" t="s">
        <v>21</v>
      </c>
      <c r="B194" s="13">
        <f>SUM(B190:B193)</f>
        <v>1250574.81</v>
      </c>
      <c r="C194" s="18"/>
      <c r="D194" s="18"/>
      <c r="E194" s="18"/>
      <c r="F194" s="18"/>
      <c r="G194" s="18"/>
      <c r="H194" s="8"/>
      <c r="I194" s="8"/>
      <c r="J194" s="1"/>
      <c r="K194" s="1"/>
    </row>
    <row r="195" spans="1:9" ht="12.75">
      <c r="A195" s="14">
        <v>45323</v>
      </c>
      <c r="B195" s="31">
        <f>L117+D90+I12</f>
        <v>951648.23</v>
      </c>
      <c r="C195" s="9"/>
      <c r="D195" s="8"/>
      <c r="E195" s="8"/>
      <c r="F195" s="18"/>
      <c r="G195" s="18"/>
      <c r="H195" s="8"/>
      <c r="I195" s="8"/>
    </row>
    <row r="196" spans="1:9" ht="25.5">
      <c r="A196" s="107" t="s">
        <v>22</v>
      </c>
      <c r="B196" s="31">
        <f>L118+I13</f>
        <v>415620.21</v>
      </c>
      <c r="C196" s="83"/>
      <c r="D196" s="83"/>
      <c r="E196" s="83"/>
      <c r="F196" s="84"/>
      <c r="G196" s="84"/>
      <c r="H196" s="8"/>
      <c r="I196" s="8"/>
    </row>
    <row r="197" spans="1:9" ht="38.25">
      <c r="A197" s="107" t="s">
        <v>87</v>
      </c>
      <c r="B197" s="31">
        <f>I14</f>
        <v>4733.6</v>
      </c>
      <c r="C197" s="83"/>
      <c r="D197" s="83"/>
      <c r="E197" s="83"/>
      <c r="F197" s="84"/>
      <c r="G197" s="84"/>
      <c r="H197" s="8"/>
      <c r="I197" s="8"/>
    </row>
    <row r="198" spans="1:9" ht="25.5">
      <c r="A198" s="47" t="s">
        <v>23</v>
      </c>
      <c r="B198" s="31">
        <f>L119+I15</f>
        <v>2549.95</v>
      </c>
      <c r="C198" s="83"/>
      <c r="D198" s="83"/>
      <c r="E198" s="83"/>
      <c r="F198" s="84"/>
      <c r="G198" s="84"/>
      <c r="H198" s="8"/>
      <c r="I198" s="8"/>
    </row>
    <row r="199" spans="1:9" ht="25.5">
      <c r="A199" s="89" t="s">
        <v>24</v>
      </c>
      <c r="B199" s="13">
        <f>SUM(B195:B198)</f>
        <v>1374551.99</v>
      </c>
      <c r="C199" s="18"/>
      <c r="D199" s="18"/>
      <c r="E199" s="18"/>
      <c r="F199" s="18"/>
      <c r="G199" s="18"/>
      <c r="H199" s="8"/>
      <c r="I199" s="8"/>
    </row>
    <row r="200" spans="1:9" ht="12.75">
      <c r="A200" s="14">
        <v>45352</v>
      </c>
      <c r="B200" s="31">
        <f>L121+D91+I17</f>
        <v>964381.16</v>
      </c>
      <c r="C200" s="9"/>
      <c r="D200" s="8"/>
      <c r="E200" s="8"/>
      <c r="F200" s="18"/>
      <c r="G200" s="18"/>
      <c r="H200" s="8"/>
      <c r="I200" s="8"/>
    </row>
    <row r="201" spans="1:9" ht="25.5">
      <c r="A201" s="107" t="s">
        <v>25</v>
      </c>
      <c r="B201" s="72">
        <f>L122+I18</f>
        <v>0</v>
      </c>
      <c r="C201" s="83"/>
      <c r="D201" s="83"/>
      <c r="E201" s="83"/>
      <c r="F201" s="84"/>
      <c r="G201" s="84"/>
      <c r="H201" s="8"/>
      <c r="I201" s="8"/>
    </row>
    <row r="202" spans="1:9" ht="38.25">
      <c r="A202" s="107" t="s">
        <v>90</v>
      </c>
      <c r="B202" s="72">
        <f>I19</f>
        <v>0</v>
      </c>
      <c r="C202" s="83"/>
      <c r="D202" s="83"/>
      <c r="E202" s="83"/>
      <c r="F202" s="84"/>
      <c r="G202" s="84"/>
      <c r="H202" s="8"/>
      <c r="I202" s="8"/>
    </row>
    <row r="203" spans="1:9" ht="25.5">
      <c r="A203" s="47" t="s">
        <v>26</v>
      </c>
      <c r="B203" s="72">
        <f>I20</f>
        <v>0</v>
      </c>
      <c r="C203" s="83"/>
      <c r="D203" s="83"/>
      <c r="E203" s="83"/>
      <c r="F203" s="84"/>
      <c r="G203" s="84"/>
      <c r="H203" s="8"/>
      <c r="I203" s="8"/>
    </row>
    <row r="204" spans="1:9" ht="25.5">
      <c r="A204" s="89" t="s">
        <v>27</v>
      </c>
      <c r="B204" s="72">
        <f>L123+I20</f>
        <v>0</v>
      </c>
      <c r="C204" s="83"/>
      <c r="D204" s="83"/>
      <c r="E204" s="83"/>
      <c r="F204" s="84"/>
      <c r="G204" s="84"/>
      <c r="H204" s="8"/>
      <c r="I204" s="8"/>
    </row>
    <row r="205" spans="1:9" ht="25.5">
      <c r="A205" s="89" t="s">
        <v>27</v>
      </c>
      <c r="B205" s="13">
        <f>SUM(B200:B204)</f>
        <v>964381.16</v>
      </c>
      <c r="C205" s="18"/>
      <c r="D205" s="18"/>
      <c r="E205" s="18"/>
      <c r="F205" s="18"/>
      <c r="G205" s="18"/>
      <c r="H205" s="8"/>
      <c r="I205" s="8"/>
    </row>
    <row r="206" spans="1:9" ht="12.75">
      <c r="A206" s="28" t="s">
        <v>28</v>
      </c>
      <c r="B206" s="65">
        <f>B190+B195+B200</f>
        <v>2862698.65</v>
      </c>
      <c r="C206" s="39"/>
      <c r="D206" s="39"/>
      <c r="E206" s="39"/>
      <c r="F206" s="18"/>
      <c r="G206" s="18"/>
      <c r="H206" s="18"/>
      <c r="I206" s="18"/>
    </row>
    <row r="207" spans="1:9" ht="25.5">
      <c r="A207" s="48" t="s">
        <v>29</v>
      </c>
      <c r="B207" s="65">
        <f>B191+B196+B201</f>
        <v>717585.73</v>
      </c>
      <c r="C207" s="39"/>
      <c r="D207" s="39"/>
      <c r="E207" s="39"/>
      <c r="F207" s="18"/>
      <c r="G207" s="18"/>
      <c r="H207" s="18"/>
      <c r="I207" s="18"/>
    </row>
    <row r="208" spans="1:9" ht="25.5">
      <c r="A208" s="48" t="s">
        <v>89</v>
      </c>
      <c r="B208" s="65">
        <f>B192+B197</f>
        <v>5056.400000000001</v>
      </c>
      <c r="C208" s="39"/>
      <c r="D208" s="39"/>
      <c r="E208" s="39"/>
      <c r="F208" s="18"/>
      <c r="G208" s="18"/>
      <c r="H208" s="18"/>
      <c r="I208" s="18"/>
    </row>
    <row r="209" spans="1:9" ht="25.5">
      <c r="A209" s="48" t="s">
        <v>30</v>
      </c>
      <c r="B209" s="65">
        <f>B193+B198+B204</f>
        <v>4167.18</v>
      </c>
      <c r="C209" s="39"/>
      <c r="D209" s="39"/>
      <c r="E209" s="39"/>
      <c r="F209" s="39"/>
      <c r="G209" s="39"/>
      <c r="H209" s="18"/>
      <c r="I209" s="18"/>
    </row>
    <row r="210" spans="1:9" ht="38.25">
      <c r="A210" s="48" t="s">
        <v>31</v>
      </c>
      <c r="B210" s="65">
        <f>SUM(B206:B209)</f>
        <v>3589507.96</v>
      </c>
      <c r="C210" s="39"/>
      <c r="D210" s="39"/>
      <c r="E210" s="39"/>
      <c r="F210" s="39"/>
      <c r="G210" s="39"/>
      <c r="H210" s="18"/>
      <c r="I210" s="18"/>
    </row>
    <row r="211" spans="1:9" ht="12.75">
      <c r="A211" s="14">
        <v>45383</v>
      </c>
      <c r="B211" s="31">
        <f>L129+D93+I27</f>
        <v>914000</v>
      </c>
      <c r="C211" s="9"/>
      <c r="D211" s="8"/>
      <c r="E211" s="8"/>
      <c r="F211" s="18"/>
      <c r="G211" s="18"/>
      <c r="H211" s="8"/>
      <c r="I211" s="8"/>
    </row>
    <row r="212" spans="1:9" ht="25.5">
      <c r="A212" s="43" t="s">
        <v>32</v>
      </c>
      <c r="B212" s="31">
        <f>L130+I28</f>
        <v>0</v>
      </c>
      <c r="C212" s="9"/>
      <c r="D212" s="8"/>
      <c r="E212" s="8"/>
      <c r="F212" s="18"/>
      <c r="G212" s="18"/>
      <c r="H212" s="8"/>
      <c r="I212" s="8"/>
    </row>
    <row r="213" spans="1:9" ht="25.5">
      <c r="A213" s="47" t="s">
        <v>33</v>
      </c>
      <c r="B213" s="31">
        <f>L131+I29</f>
        <v>0</v>
      </c>
      <c r="C213" s="9"/>
      <c r="D213" s="8"/>
      <c r="E213" s="8"/>
      <c r="F213" s="18"/>
      <c r="G213" s="18"/>
      <c r="H213" s="8"/>
      <c r="I213" s="8"/>
    </row>
    <row r="214" spans="1:9" ht="25.5">
      <c r="A214" s="89" t="s">
        <v>34</v>
      </c>
      <c r="B214" s="13">
        <f>B211+B212+B213</f>
        <v>914000</v>
      </c>
      <c r="C214" s="18"/>
      <c r="D214" s="18"/>
      <c r="E214" s="18"/>
      <c r="F214" s="18"/>
      <c r="G214" s="18"/>
      <c r="H214" s="8"/>
      <c r="I214" s="8"/>
    </row>
    <row r="215" spans="1:9" ht="12.75">
      <c r="A215" s="14">
        <v>45413</v>
      </c>
      <c r="B215" s="31">
        <f>L133+D94+I31</f>
        <v>0</v>
      </c>
      <c r="C215" s="9"/>
      <c r="D215" s="8"/>
      <c r="E215" s="8"/>
      <c r="F215" s="18"/>
      <c r="G215" s="18"/>
      <c r="H215" s="8"/>
      <c r="I215" s="8"/>
    </row>
    <row r="216" spans="1:9" ht="25.5">
      <c r="A216" s="43" t="s">
        <v>35</v>
      </c>
      <c r="B216" s="31">
        <f>L134+I32</f>
        <v>0</v>
      </c>
      <c r="C216" s="9"/>
      <c r="D216" s="8"/>
      <c r="E216" s="8"/>
      <c r="F216" s="18"/>
      <c r="G216" s="18"/>
      <c r="H216" s="8"/>
      <c r="I216" s="8"/>
    </row>
    <row r="217" spans="1:9" ht="25.5">
      <c r="A217" s="47" t="s">
        <v>36</v>
      </c>
      <c r="B217" s="31">
        <f>L135+I33</f>
        <v>0</v>
      </c>
      <c r="C217" s="9"/>
      <c r="D217" s="8"/>
      <c r="E217" s="8"/>
      <c r="F217" s="18"/>
      <c r="G217" s="18"/>
      <c r="H217" s="8"/>
      <c r="I217" s="8"/>
    </row>
    <row r="218" spans="1:9" ht="12.75">
      <c r="A218" s="89" t="s">
        <v>37</v>
      </c>
      <c r="B218" s="13">
        <f>B215+B216+B217</f>
        <v>0</v>
      </c>
      <c r="C218" s="8"/>
      <c r="D218" s="8"/>
      <c r="E218" s="8"/>
      <c r="F218" s="8"/>
      <c r="G218" s="8"/>
      <c r="H218" s="8"/>
      <c r="I218" s="8"/>
    </row>
    <row r="219" spans="1:9" ht="12.75">
      <c r="A219" s="14">
        <v>45444</v>
      </c>
      <c r="B219" s="31">
        <f>L137+D95+I35</f>
        <v>0</v>
      </c>
      <c r="C219" s="9"/>
      <c r="D219" s="9"/>
      <c r="E219" s="9"/>
      <c r="F219" s="18"/>
      <c r="G219" s="18"/>
      <c r="H219" s="8"/>
      <c r="I219" s="8"/>
    </row>
    <row r="220" spans="1:9" ht="25.5">
      <c r="A220" s="43" t="s">
        <v>38</v>
      </c>
      <c r="B220" s="31">
        <f>L138+I36</f>
        <v>0</v>
      </c>
      <c r="C220" s="9"/>
      <c r="D220" s="9"/>
      <c r="E220" s="9"/>
      <c r="F220" s="18"/>
      <c r="G220" s="18"/>
      <c r="H220" s="8"/>
      <c r="I220" s="8"/>
    </row>
    <row r="221" spans="1:9" ht="25.5">
      <c r="A221" s="47" t="s">
        <v>39</v>
      </c>
      <c r="B221" s="31">
        <f>L139+I37</f>
        <v>0</v>
      </c>
      <c r="C221" s="9"/>
      <c r="D221" s="9"/>
      <c r="E221" s="9"/>
      <c r="F221" s="18"/>
      <c r="G221" s="18"/>
      <c r="H221" s="8"/>
      <c r="I221" s="8"/>
    </row>
    <row r="222" spans="1:9" ht="25.5">
      <c r="A222" s="59" t="s">
        <v>40</v>
      </c>
      <c r="B222" s="13">
        <f>B219+B220+B221</f>
        <v>0</v>
      </c>
      <c r="C222" s="8"/>
      <c r="D222" s="8"/>
      <c r="E222" s="8"/>
      <c r="F222" s="8"/>
      <c r="G222" s="8"/>
      <c r="H222" s="8"/>
      <c r="I222" s="8"/>
    </row>
    <row r="223" spans="1:9" ht="12.75">
      <c r="A223" s="15" t="s">
        <v>41</v>
      </c>
      <c r="B223" s="65">
        <f>B211+B215+B219</f>
        <v>914000</v>
      </c>
      <c r="C223" s="39"/>
      <c r="D223" s="39"/>
      <c r="E223" s="39"/>
      <c r="F223" s="18"/>
      <c r="G223" s="18"/>
      <c r="H223" s="18"/>
      <c r="I223" s="18"/>
    </row>
    <row r="224" spans="1:9" ht="25.5">
      <c r="A224" s="48" t="s">
        <v>42</v>
      </c>
      <c r="B224" s="65">
        <f>B212+B216+B220</f>
        <v>0</v>
      </c>
      <c r="C224" s="39"/>
      <c r="D224" s="39"/>
      <c r="E224" s="39"/>
      <c r="F224" s="39"/>
      <c r="G224" s="39"/>
      <c r="H224" s="18"/>
      <c r="I224" s="18"/>
    </row>
    <row r="225" spans="1:9" ht="25.5">
      <c r="A225" s="48" t="s">
        <v>43</v>
      </c>
      <c r="B225" s="65">
        <f>B213+B217+B221</f>
        <v>0</v>
      </c>
      <c r="C225" s="39"/>
      <c r="D225" s="39"/>
      <c r="E225" s="39"/>
      <c r="F225" s="39"/>
      <c r="G225" s="39"/>
      <c r="H225" s="18"/>
      <c r="I225" s="18"/>
    </row>
    <row r="226" spans="1:9" ht="38.25">
      <c r="A226" s="48" t="s">
        <v>44</v>
      </c>
      <c r="B226" s="65">
        <f>B223+B224+B225</f>
        <v>914000</v>
      </c>
      <c r="C226" s="39"/>
      <c r="D226" s="39"/>
      <c r="E226" s="39"/>
      <c r="F226" s="39"/>
      <c r="G226" s="39"/>
      <c r="H226" s="18"/>
      <c r="I226" s="18"/>
    </row>
    <row r="227" spans="1:9" ht="12.75">
      <c r="A227" s="14">
        <v>45474</v>
      </c>
      <c r="B227" s="31">
        <f>L145+D97+I43</f>
        <v>0</v>
      </c>
      <c r="C227" s="64"/>
      <c r="D227" s="30"/>
      <c r="E227" s="8"/>
      <c r="F227" s="18"/>
      <c r="G227" s="18"/>
      <c r="H227" s="9"/>
      <c r="I227" s="9"/>
    </row>
    <row r="228" spans="1:9" ht="25.5">
      <c r="A228" s="47" t="s">
        <v>45</v>
      </c>
      <c r="B228" s="31">
        <f>L147+I45</f>
        <v>0</v>
      </c>
      <c r="C228" s="64"/>
      <c r="D228" s="30"/>
      <c r="E228" s="8"/>
      <c r="F228" s="18"/>
      <c r="G228" s="18"/>
      <c r="H228" s="9"/>
      <c r="I228" s="9"/>
    </row>
    <row r="229" spans="1:9" ht="25.5">
      <c r="A229" s="47" t="s">
        <v>46</v>
      </c>
      <c r="B229" s="31">
        <f>L146+I44</f>
        <v>0</v>
      </c>
      <c r="C229" s="64"/>
      <c r="D229" s="30"/>
      <c r="E229" s="8"/>
      <c r="F229" s="18"/>
      <c r="G229" s="18"/>
      <c r="H229" s="9"/>
      <c r="I229" s="9"/>
    </row>
    <row r="230" spans="1:9" ht="25.5">
      <c r="A230" s="59" t="s">
        <v>47</v>
      </c>
      <c r="B230" s="31">
        <f>B227+B228+B229</f>
        <v>0</v>
      </c>
      <c r="C230" s="8"/>
      <c r="D230" s="8"/>
      <c r="E230" s="8"/>
      <c r="F230" s="8"/>
      <c r="G230" s="8"/>
      <c r="H230" s="9"/>
      <c r="I230" s="9"/>
    </row>
    <row r="231" spans="1:9" ht="12.75">
      <c r="A231" s="14">
        <v>45505</v>
      </c>
      <c r="B231" s="31">
        <f>L149+D98+I47</f>
        <v>0</v>
      </c>
      <c r="C231" s="64"/>
      <c r="D231" s="30"/>
      <c r="E231" s="8"/>
      <c r="F231" s="18"/>
      <c r="G231" s="18"/>
      <c r="H231" s="9"/>
      <c r="I231" s="9"/>
    </row>
    <row r="232" spans="1:9" ht="25.5">
      <c r="A232" s="47" t="s">
        <v>48</v>
      </c>
      <c r="B232" s="31">
        <f>L150+I48</f>
        <v>0</v>
      </c>
      <c r="C232" s="64"/>
      <c r="D232" s="30"/>
      <c r="E232" s="8"/>
      <c r="F232" s="18"/>
      <c r="G232" s="18"/>
      <c r="H232" s="9"/>
      <c r="I232" s="9"/>
    </row>
    <row r="233" spans="1:9" ht="25.5">
      <c r="A233" s="47" t="s">
        <v>49</v>
      </c>
      <c r="B233" s="31">
        <f>L151+I49</f>
        <v>0</v>
      </c>
      <c r="C233" s="64"/>
      <c r="D233" s="30"/>
      <c r="E233" s="8"/>
      <c r="F233" s="18"/>
      <c r="G233" s="18"/>
      <c r="H233" s="9"/>
      <c r="I233" s="9"/>
    </row>
    <row r="234" spans="1:9" ht="25.5">
      <c r="A234" s="59" t="s">
        <v>50</v>
      </c>
      <c r="B234" s="31">
        <f>SUM(B231:B233)</f>
        <v>0</v>
      </c>
      <c r="C234" s="64"/>
      <c r="D234" s="64"/>
      <c r="E234" s="64"/>
      <c r="F234" s="18"/>
      <c r="G234" s="18"/>
      <c r="H234" s="9"/>
      <c r="I234" s="9"/>
    </row>
    <row r="235" spans="1:9" ht="12.75">
      <c r="A235" s="14">
        <v>45536</v>
      </c>
      <c r="B235" s="31">
        <f>L153+D99+I51</f>
        <v>0</v>
      </c>
      <c r="C235" s="64"/>
      <c r="D235" s="30"/>
      <c r="E235" s="8"/>
      <c r="F235" s="18"/>
      <c r="G235" s="18"/>
      <c r="H235" s="9"/>
      <c r="I235" s="9"/>
    </row>
    <row r="236" spans="1:9" ht="25.5">
      <c r="A236" s="47" t="s">
        <v>51</v>
      </c>
      <c r="B236" s="31">
        <f>L154+I52</f>
        <v>0</v>
      </c>
      <c r="C236" s="64"/>
      <c r="D236" s="30"/>
      <c r="E236" s="8"/>
      <c r="F236" s="18"/>
      <c r="G236" s="18"/>
      <c r="H236" s="9"/>
      <c r="I236" s="9"/>
    </row>
    <row r="237" spans="1:9" ht="25.5">
      <c r="A237" s="47" t="s">
        <v>52</v>
      </c>
      <c r="B237" s="31">
        <f>L155+I53</f>
        <v>0</v>
      </c>
      <c r="C237" s="64"/>
      <c r="D237" s="30"/>
      <c r="E237" s="8"/>
      <c r="F237" s="18"/>
      <c r="G237" s="18"/>
      <c r="H237" s="9"/>
      <c r="I237" s="9"/>
    </row>
    <row r="238" spans="1:9" ht="25.5">
      <c r="A238" s="59" t="s">
        <v>53</v>
      </c>
      <c r="B238" s="31">
        <f>SUM(B235:B237)</f>
        <v>0</v>
      </c>
      <c r="C238" s="64"/>
      <c r="D238" s="64"/>
      <c r="E238" s="64"/>
      <c r="F238" s="18"/>
      <c r="G238" s="18"/>
      <c r="H238" s="9"/>
      <c r="I238" s="9"/>
    </row>
    <row r="239" spans="1:9" ht="12.75">
      <c r="A239" s="15" t="s">
        <v>54</v>
      </c>
      <c r="B239" s="65">
        <f>B227+B231+B235</f>
        <v>0</v>
      </c>
      <c r="C239" s="24"/>
      <c r="D239" s="24"/>
      <c r="E239" s="24"/>
      <c r="F239" s="18"/>
      <c r="G239" s="18"/>
      <c r="H239" s="18"/>
      <c r="I239" s="18"/>
    </row>
    <row r="240" spans="1:9" ht="25.5">
      <c r="A240" s="48" t="s">
        <v>55</v>
      </c>
      <c r="B240" s="65">
        <f>B228+B233+B237</f>
        <v>0</v>
      </c>
      <c r="C240" s="39"/>
      <c r="D240" s="39"/>
      <c r="E240" s="39"/>
      <c r="F240" s="18"/>
      <c r="G240" s="18"/>
      <c r="H240" s="18"/>
      <c r="I240" s="18"/>
    </row>
    <row r="241" spans="1:9" ht="25.5">
      <c r="A241" s="48" t="s">
        <v>56</v>
      </c>
      <c r="B241" s="65">
        <f>B232+B236</f>
        <v>0</v>
      </c>
      <c r="C241" s="39"/>
      <c r="D241" s="39"/>
      <c r="E241" s="39"/>
      <c r="F241" s="18"/>
      <c r="G241" s="18"/>
      <c r="H241" s="18"/>
      <c r="I241" s="18"/>
    </row>
    <row r="242" spans="1:9" ht="38.25">
      <c r="A242" s="48" t="s">
        <v>57</v>
      </c>
      <c r="B242" s="65">
        <f>SUM(B239:B241)</f>
        <v>0</v>
      </c>
      <c r="C242" s="39"/>
      <c r="D242" s="39"/>
      <c r="E242" s="39"/>
      <c r="F242" s="18"/>
      <c r="G242" s="18"/>
      <c r="H242" s="18"/>
      <c r="I242" s="18"/>
    </row>
    <row r="243" spans="1:9" ht="12.75">
      <c r="A243" s="14">
        <v>45566</v>
      </c>
      <c r="B243" s="11">
        <f>L161+D101+I59</f>
        <v>0</v>
      </c>
      <c r="C243" s="64"/>
      <c r="D243" s="30"/>
      <c r="E243" s="8"/>
      <c r="F243" s="18"/>
      <c r="G243" s="18"/>
      <c r="H243" s="18"/>
      <c r="I243" s="18"/>
    </row>
    <row r="244" spans="1:9" ht="25.5">
      <c r="A244" s="47" t="s">
        <v>58</v>
      </c>
      <c r="B244" s="11">
        <f>L162+I60</f>
        <v>0</v>
      </c>
      <c r="C244" s="64"/>
      <c r="D244" s="30"/>
      <c r="E244" s="8"/>
      <c r="F244" s="18"/>
      <c r="G244" s="18"/>
      <c r="H244" s="18"/>
      <c r="I244" s="18"/>
    </row>
    <row r="245" spans="1:9" ht="25.5">
      <c r="A245" s="47" t="s">
        <v>59</v>
      </c>
      <c r="B245" s="11">
        <f>L163+I61</f>
        <v>0</v>
      </c>
      <c r="C245" s="64"/>
      <c r="D245" s="30"/>
      <c r="E245" s="8"/>
      <c r="F245" s="18"/>
      <c r="G245" s="18"/>
      <c r="H245" s="18"/>
      <c r="I245" s="18"/>
    </row>
    <row r="246" spans="1:9" ht="12.75">
      <c r="A246" s="59" t="s">
        <v>60</v>
      </c>
      <c r="B246" s="11">
        <f>SUM(B243:B245)</f>
        <v>0</v>
      </c>
      <c r="C246" s="30"/>
      <c r="D246" s="30"/>
      <c r="E246" s="30"/>
      <c r="F246" s="30"/>
      <c r="G246" s="30"/>
      <c r="H246" s="18"/>
      <c r="I246" s="18"/>
    </row>
    <row r="247" spans="1:9" ht="12.75">
      <c r="A247" s="38">
        <v>45597</v>
      </c>
      <c r="B247" s="11">
        <f>L165+D102+I63</f>
        <v>0</v>
      </c>
      <c r="C247" s="64"/>
      <c r="D247" s="30"/>
      <c r="E247" s="8"/>
      <c r="F247" s="18"/>
      <c r="G247" s="18"/>
      <c r="H247" s="18"/>
      <c r="I247" s="18"/>
    </row>
    <row r="248" spans="1:9" ht="25.5">
      <c r="A248" s="47" t="s">
        <v>61</v>
      </c>
      <c r="B248" s="11">
        <f>L166+I64</f>
        <v>0</v>
      </c>
      <c r="C248" s="64"/>
      <c r="D248" s="30"/>
      <c r="E248" s="8"/>
      <c r="F248" s="18"/>
      <c r="G248" s="18"/>
      <c r="H248" s="18"/>
      <c r="I248" s="18"/>
    </row>
    <row r="249" spans="1:9" ht="25.5">
      <c r="A249" s="47" t="s">
        <v>62</v>
      </c>
      <c r="B249" s="11">
        <f>L167+I65</f>
        <v>0</v>
      </c>
      <c r="C249" s="64"/>
      <c r="D249" s="30"/>
      <c r="E249" s="8"/>
      <c r="F249" s="18"/>
      <c r="G249" s="18"/>
      <c r="H249" s="18"/>
      <c r="I249" s="18"/>
    </row>
    <row r="250" spans="1:9" ht="12.75">
      <c r="A250" s="59" t="s">
        <v>63</v>
      </c>
      <c r="B250" s="11">
        <f>SUM(B247:B249)</f>
        <v>0</v>
      </c>
      <c r="C250" s="30"/>
      <c r="D250" s="30"/>
      <c r="E250" s="30"/>
      <c r="F250" s="30"/>
      <c r="G250" s="30"/>
      <c r="H250" s="18"/>
      <c r="I250" s="18"/>
    </row>
    <row r="251" spans="1:9" ht="12.75">
      <c r="A251" s="14">
        <v>45627</v>
      </c>
      <c r="B251" s="11">
        <f>L169+D103+I67</f>
        <v>0</v>
      </c>
      <c r="C251" s="30"/>
      <c r="D251" s="30"/>
      <c r="E251" s="30"/>
      <c r="F251" s="30"/>
      <c r="G251" s="30"/>
      <c r="H251" s="18"/>
      <c r="I251" s="18"/>
    </row>
    <row r="252" spans="1:9" ht="25.5">
      <c r="A252" s="47" t="s">
        <v>64</v>
      </c>
      <c r="B252" s="11">
        <f>L170+I68</f>
        <v>0</v>
      </c>
      <c r="C252" s="30"/>
      <c r="D252" s="30"/>
      <c r="E252" s="30"/>
      <c r="F252" s="30"/>
      <c r="G252" s="30"/>
      <c r="H252" s="18"/>
      <c r="I252" s="18"/>
    </row>
    <row r="253" spans="1:9" ht="25.5">
      <c r="A253" s="47" t="s">
        <v>65</v>
      </c>
      <c r="B253" s="11">
        <f>L171+I69</f>
        <v>0</v>
      </c>
      <c r="C253" s="30"/>
      <c r="D253" s="30"/>
      <c r="E253" s="30"/>
      <c r="F253" s="30"/>
      <c r="G253" s="30"/>
      <c r="H253" s="18"/>
      <c r="I253" s="18"/>
    </row>
    <row r="254" spans="1:9" ht="12.75">
      <c r="A254" s="59" t="s">
        <v>66</v>
      </c>
      <c r="B254" s="11">
        <f>SUM(B251:B253)</f>
        <v>0</v>
      </c>
      <c r="C254" s="30"/>
      <c r="D254" s="30"/>
      <c r="E254" s="30"/>
      <c r="F254" s="30"/>
      <c r="G254" s="30"/>
      <c r="H254" s="18"/>
      <c r="I254" s="18"/>
    </row>
    <row r="255" spans="1:9" ht="25.5">
      <c r="A255" s="5" t="s">
        <v>67</v>
      </c>
      <c r="B255" s="65">
        <f>B243+B247+B251</f>
        <v>0</v>
      </c>
      <c r="C255" s="39"/>
      <c r="D255" s="39"/>
      <c r="E255" s="39"/>
      <c r="F255" s="39"/>
      <c r="G255" s="39"/>
      <c r="H255" s="18"/>
      <c r="I255" s="18"/>
    </row>
    <row r="256" spans="1:9" ht="25.5">
      <c r="A256" s="48" t="s">
        <v>68</v>
      </c>
      <c r="B256" s="65">
        <f>B245+B249+B253</f>
        <v>0</v>
      </c>
      <c r="C256" s="39"/>
      <c r="D256" s="39"/>
      <c r="E256" s="39"/>
      <c r="F256" s="39"/>
      <c r="G256" s="39"/>
      <c r="H256" s="18"/>
      <c r="I256" s="18"/>
    </row>
    <row r="257" spans="1:9" ht="25.5">
      <c r="A257" s="48" t="s">
        <v>69</v>
      </c>
      <c r="B257" s="65">
        <f>B244+B248+B252</f>
        <v>0</v>
      </c>
      <c r="C257" s="39"/>
      <c r="D257" s="39"/>
      <c r="E257" s="39"/>
      <c r="F257" s="39"/>
      <c r="G257" s="39"/>
      <c r="H257" s="18"/>
      <c r="I257" s="18"/>
    </row>
    <row r="258" spans="1:9" ht="38.25">
      <c r="A258" s="48" t="s">
        <v>70</v>
      </c>
      <c r="B258" s="65">
        <f>SUM(B255:B257)</f>
        <v>0</v>
      </c>
      <c r="C258" s="39"/>
      <c r="D258" s="39"/>
      <c r="E258" s="39"/>
      <c r="F258" s="39"/>
      <c r="G258" s="39"/>
      <c r="H258" s="18"/>
      <c r="I258" s="18"/>
    </row>
    <row r="259" spans="1:9" ht="25.5" customHeight="1">
      <c r="A259" s="19" t="s">
        <v>71</v>
      </c>
      <c r="B259" s="65">
        <f>B206+B223+B239+B255</f>
        <v>3776698.65</v>
      </c>
      <c r="C259" s="85"/>
      <c r="D259" s="85"/>
      <c r="E259" s="85"/>
      <c r="F259" s="18"/>
      <c r="G259" s="18"/>
      <c r="H259" s="18"/>
      <c r="I259" s="18"/>
    </row>
    <row r="260" spans="1:9" ht="39" customHeight="1">
      <c r="A260" s="19" t="s">
        <v>72</v>
      </c>
      <c r="B260" s="65">
        <f>B256+B240+B224+B207</f>
        <v>717585.73</v>
      </c>
      <c r="C260" s="85"/>
      <c r="D260" s="85"/>
      <c r="E260" s="85"/>
      <c r="F260" s="18"/>
      <c r="G260" s="18"/>
      <c r="H260" s="18"/>
      <c r="I260" s="18"/>
    </row>
    <row r="261" spans="1:9" ht="39" customHeight="1">
      <c r="A261" s="19" t="s">
        <v>91</v>
      </c>
      <c r="B261" s="65">
        <f>B208</f>
        <v>5056.400000000001</v>
      </c>
      <c r="C261" s="85"/>
      <c r="D261" s="85"/>
      <c r="E261" s="85"/>
      <c r="F261" s="18"/>
      <c r="G261" s="18"/>
      <c r="H261" s="18"/>
      <c r="I261" s="18"/>
    </row>
    <row r="262" spans="1:9" ht="39" customHeight="1">
      <c r="A262" s="19" t="s">
        <v>73</v>
      </c>
      <c r="B262" s="65">
        <f>B257+B241+B225+B209</f>
        <v>4167.18</v>
      </c>
      <c r="C262" s="85"/>
      <c r="D262" s="85"/>
      <c r="E262" s="85"/>
      <c r="F262" s="18"/>
      <c r="G262" s="18"/>
      <c r="H262" s="18"/>
      <c r="I262" s="18"/>
    </row>
    <row r="263" spans="1:9" ht="50.25" customHeight="1">
      <c r="A263" s="19" t="s">
        <v>74</v>
      </c>
      <c r="B263" s="65">
        <f>SUM(B259:B262)</f>
        <v>4503507.96</v>
      </c>
      <c r="C263" s="85"/>
      <c r="D263" s="85"/>
      <c r="E263" s="85"/>
      <c r="F263" s="18"/>
      <c r="G263" s="18"/>
      <c r="H263" s="18"/>
      <c r="I263" s="18"/>
    </row>
    <row r="264" spans="1:9" ht="25.5">
      <c r="A264" s="21" t="s">
        <v>80</v>
      </c>
      <c r="B264" s="39">
        <f>B189</f>
        <v>160492.03999999998</v>
      </c>
      <c r="C264" s="39"/>
      <c r="D264" s="39"/>
      <c r="E264" s="39"/>
      <c r="F264" s="39"/>
      <c r="G264" s="39"/>
      <c r="H264" s="18"/>
      <c r="I264" s="18"/>
    </row>
    <row r="265" ht="12.75">
      <c r="B265" s="93">
        <f>B263+B264</f>
        <v>4664000</v>
      </c>
    </row>
  </sheetData>
  <sheetProtection/>
  <mergeCells count="8">
    <mergeCell ref="I4:I5"/>
    <mergeCell ref="A185:A186"/>
    <mergeCell ref="A87:A88"/>
    <mergeCell ref="A111:A112"/>
    <mergeCell ref="A4:A5"/>
    <mergeCell ref="C184:D184"/>
    <mergeCell ref="F184:G184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1 D106 K152 D93:D99 D89:D92 D101:D105 I27:I31" formulaRange="1"/>
    <ignoredError sqref="D100" formula="1" formulaRange="1"/>
    <ignoredError sqref="I24 I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2024-04-18T09:11:10Z</dcterms:modified>
  <cp:category/>
  <cp:version/>
  <cp:contentType/>
  <cp:contentStatus/>
</cp:coreProperties>
</file>